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M80VoP3lGliVNR/2JVkWAipp+g6qXxyOAtCBXs9Azc4gIwnHtvaf1+T/lm4tDhLNLLw4Q+jQjN+sE0csLoUhVA==" workbookSaltValue="1E24UQo0qV+Y4AJ7WwKLU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BF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X11" i="17" s="1"/>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X17" i="17" s="1"/>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AA16" i="16" s="1"/>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H13" i="12" s="1"/>
  <c r="L13" i="8"/>
  <c r="L19" i="8" s="1"/>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F11" i="11" s="1"/>
  <c r="AQ11" i="11" s="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BF17" i="8"/>
  <c r="AG19" i="8"/>
  <c r="ER19" i="8"/>
  <c r="AE13" i="21"/>
  <c r="EL19" i="8"/>
  <c r="BE12" i="21"/>
  <c r="EQ19" i="8"/>
  <c r="EN19" i="8"/>
  <c r="E15" i="3"/>
  <c r="BA13" i="16"/>
  <c r="E17" i="3"/>
  <c r="F16" i="10"/>
  <c r="ES19" i="8"/>
  <c r="G18" i="12"/>
  <c r="W19" i="8"/>
  <c r="R8" i="9"/>
  <c r="X12" i="21" s="1"/>
  <c r="R19" i="8"/>
  <c r="EP19" i="8"/>
  <c r="EP19" i="19"/>
  <c r="BH9" i="16"/>
  <c r="BJ17" i="11"/>
  <c r="BH15" i="16"/>
  <c r="BL17" i="11"/>
  <c r="BF10" i="11"/>
  <c r="S13" i="16"/>
  <c r="P13" i="16"/>
  <c r="W13" i="20"/>
  <c r="F13" i="7"/>
  <c r="BK15" i="11"/>
  <c r="X9" i="17"/>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D9" i="8"/>
  <c r="S15" i="17"/>
  <c r="X15" i="16"/>
  <c r="X18" i="16" s="1"/>
  <c r="V10" i="16"/>
  <c r="AP13" i="16"/>
  <c r="T18" i="17"/>
  <c r="BE16" i="13"/>
  <c r="AK20" i="20"/>
  <c r="T20" i="20"/>
  <c r="O16" i="11"/>
  <c r="Z20" i="20"/>
  <c r="H20" i="20"/>
  <c r="G18" i="14"/>
  <c r="C18" i="7" l="1"/>
  <c r="AJ19" i="8"/>
  <c r="E18" i="12"/>
  <c r="D13" i="7"/>
  <c r="I19" i="8"/>
  <c r="B12" i="6"/>
  <c r="E10" i="6"/>
  <c r="U9" i="17"/>
  <c r="U19" i="17" s="1"/>
  <c r="L12" i="2"/>
  <c r="BK10" i="11"/>
  <c r="BH12" i="16"/>
  <c r="BM9" i="11"/>
  <c r="S17" i="17"/>
  <c r="BF15" i="11"/>
  <c r="BM17" i="11"/>
  <c r="Q15" i="17"/>
  <c r="BH10" i="16"/>
  <c r="BL10" i="11"/>
  <c r="BL15" i="11"/>
  <c r="BF12" i="11"/>
  <c r="P15" i="17"/>
  <c r="S15" i="16"/>
  <c r="AZ11" i="11"/>
  <c r="S11" i="14"/>
  <c r="V11" i="14" s="1"/>
  <c r="AZ16" i="11"/>
  <c r="BU12" i="17"/>
  <c r="V12" i="16"/>
  <c r="BW10" i="20"/>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AO12" i="11"/>
  <c r="BK9" i="11"/>
  <c r="BK12" i="11"/>
  <c r="Q17" i="20"/>
  <c r="Q18" i="20" s="1"/>
  <c r="BH15" i="11"/>
  <c r="V15" i="11"/>
  <c r="AP16" i="20"/>
  <c r="AY13" i="8"/>
  <c r="BD12" i="8"/>
  <c r="H12" i="7" s="1"/>
  <c r="BE12" i="8"/>
  <c r="I12" i="7" s="1"/>
  <c r="L11" i="14"/>
  <c r="BE15" i="13"/>
  <c r="V17" i="16"/>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I12" i="12" l="1"/>
  <c r="AB21" i="2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<sst xmlns="http://schemas.openxmlformats.org/spreadsheetml/2006/main" count="2094" uniqueCount="914">
  <si>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</si>
  <si>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</si>
  <si>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</si>
  <si>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</si>
  <si>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</si>
  <si>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</si>
  <si>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</si>
  <si>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</si>
  <si>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</si>
  <si>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</si>
  <si>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</si>
  <si>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</si>
  <si>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</si>
  <si>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</si>
  <si>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</si>
  <si>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</si>
  <si>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</si>
  <si>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</si>
  <si>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</si>
  <si>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</si>
  <si>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</si>
  <si>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</si>
  <si>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</si>
  <si>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</si>
  <si>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</si>
  <si>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</si>
  <si>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</si>
  <si>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</si>
  <si>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</si>
  <si>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</si>
  <si>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</si>
  <si>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</si>
  <si>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</si>
  <si>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</si>
  <si>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</si>
  <si>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</si>
  <si>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</si>
  <si>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</si>
  <si>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</si>
  <si>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</si>
  <si>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</si>
  <si>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</si>
  <si>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</si>
  <si>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</si>
  <si>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</si>
  <si>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</si>
  <si>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</si>
  <si>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</si>
  <si>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</si>
  <si>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</si>
  <si>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</si>
  <si>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</si>
  <si>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</si>
  <si>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</si>
  <si>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</si>
  <si>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</si>
  <si>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</si>
  <si>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</si>
  <si>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</si>
  <si>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</si>
  <si>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</si>
  <si>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</si>
  <si>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</si>
  <si>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</si>
  <si>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</si>
  <si>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</si>
  <si>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</si>
  <si>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</si>
  <si>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</si>
  <si>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</si>
  <si>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</si>
  <si>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</si>
  <si>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</si>
  <si>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</si>
  <si>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</si>
  <si>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</si>
  <si>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</si>
  <si>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</si>
  <si>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</si>
  <si>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</si>
  <si>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</si>
  <si>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</si>
  <si>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</si>
  <si>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</si>
  <si>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</si>
  <si>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</si>
  <si>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</si>
  <si>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</si>
  <si>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</si>
  <si>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</si>
  <si>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</si>
  <si>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</si>
  <si>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</si>
  <si>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</si>
  <si>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</si>
  <si>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</si>
  <si>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</si>
  <si>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</si>
  <si>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</si>
  <si>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</si>
  <si>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</si>
  <si>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</si>
  <si>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</si>
  <si>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</si>
  <si>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</si>
  <si>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</si>
  <si>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</si>
  <si>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</si>
  <si>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</si>
  <si>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</si>
  <si>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</si>
  <si>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</si>
  <si>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</si>
  <si>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</si>
  <si>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</si>
  <si>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</si>
  <si>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</si>
  <si>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</si>
  <si>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</si>
  <si>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</si>
  <si>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</si>
  <si>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</si>
  <si>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</si>
  <si>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</si>
  <si>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</si>
  <si>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</si>
  <si>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</si>
  <si>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</si>
  <si>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</si>
  <si>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</si>
  <si>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</si>
  <si>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</si>
  <si>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</si>
  <si>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</si>
  <si>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</si>
  <si>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</si>
  <si>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</si>
  <si>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</si>
  <si>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</si>
  <si>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</si>
  <si>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</si>
  <si>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</si>
  <si>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</si>
  <si>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</si>
  <si>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</si>
  <si>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</si>
  <si>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</si>
  <si>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</si>
  <si>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</si>
  <si>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</si>
  <si>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</si>
  <si>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</si>
  <si>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</si>
  <si>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</si>
  <si>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</si>
  <si>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</si>
  <si>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</si>
  <si>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</si>
  <si>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</si>
  <si>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</si>
  <si>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</si>
  <si>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</si>
  <si>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</si>
  <si>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</si>
  <si>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</si>
  <si>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</si>
  <si>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</si>
  <si>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</si>
  <si>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</si>
  <si>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</si>
  <si>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</si>
  <si>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</si>
  <si>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</si>
  <si>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</si>
  <si>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</si>
  <si>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</si>
  <si>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</si>
  <si>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</si>
  <si>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</si>
  <si>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</si>
  <si>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</si>
  <si>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</si>
  <si>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</si>
  <si>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</si>
  <si>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</si>
  <si>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</si>
  <si>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</si>
  <si>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</si>
  <si>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</si>
  <si>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</si>
  <si>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</si>
  <si>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</si>
  <si>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</si>
  <si>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</si>
  <si>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</si>
  <si>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</si>
  <si>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</si>
  <si>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</si>
  <si>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</si>
  <si>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</si>
  <si>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</si>
  <si>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</si>
  <si>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</si>
  <si>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</si>
  <si>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</si>
  <si>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</si>
  <si>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</si>
  <si>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</si>
  <si>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</si>
  <si>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</si>
  <si>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</si>
  <si>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</si>
  <si>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</si>
  <si>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</si>
  <si>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</si>
  <si>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</si>
  <si>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</si>
  <si>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</si>
  <si>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</si>
  <si>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</si>
  <si>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</si>
  <si>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</si>
  <si>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</si>
  <si>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</si>
  <si>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</si>
  <si>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</si>
  <si>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</si>
  <si>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</si>
  <si>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</si>
  <si>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</si>
  <si>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</si>
  <si>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</si>
  <si>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</si>
  <si>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</si>
  <si>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</si>
  <si>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</si>
  <si>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</si>
  <si>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</si>
  <si>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</si>
  <si>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</si>
  <si>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</si>
  <si>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</si>
  <si>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</si>
  <si>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</si>
  <si>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</si>
  <si>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</si>
  <si>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</si>
  <si>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</si>
  <si>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</si>
  <si>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</si>
  <si>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</si>
  <si>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</si>
  <si>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</si>
  <si>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</si>
  <si>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</si>
  <si>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</si>
  <si>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</si>
  <si>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</si>
  <si>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</si>
  <si>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</si>
  <si>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</si>
  <si>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</si>
  <si>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</si>
  <si>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</si>
  <si>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</si>
  <si>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</si>
  <si>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</si>
  <si>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</si>
  <si>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</si>
  <si>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</si>
  <si>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</si>
  <si>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</si>
  <si>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</si>
  <si>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</si>
  <si>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</si>
  <si>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</si>
  <si>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</si>
  <si>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</si>
  <si>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</si>
  <si>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</si>
  <si>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</si>
  <si>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</si>
  <si>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</si>
  <si>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</si>
  <si>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</si>
  <si>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</si>
  <si>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</si>
  <si>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</si>
  <si>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</si>
  <si>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</si>
  <si>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</si>
  <si>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</si>
  <si>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</si>
  <si>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</si>
  <si>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</si>
  <si>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</si>
  <si>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</si>
  <si>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</si>
  <si>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</si>
  <si>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</si>
  <si>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</si>
  <si>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</si>
  <si>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</si>
  <si>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</si>
  <si>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</si>
  <si>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</si>
  <si>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</si>
  <si>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</si>
  <si>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</si>
  <si>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</si>
  <si>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</si>
  <si>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</si>
  <si>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</si>
  <si>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</si>
  <si>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</si>
  <si>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</si>
  <si>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</si>
  <si>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</si>
  <si>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</si>
  <si>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</si>
  <si>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</si>
  <si>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</si>
  <si>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</si>
  <si>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</si>
  <si>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</si>
  <si>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</si>
  <si>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</si>
  <si>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</si>
  <si>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</si>
  <si>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</si>
  <si>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</si>
  <si>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</si>
  <si>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</si>
  <si>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</si>
  <si>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</si>
  <si>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</si>
  <si>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</si>
  <si>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</si>
  <si>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</si>
  <si>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</si>
  <si>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</si>
  <si>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</si>
  <si>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</si>
  <si>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</si>
  <si>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</si>
  <si>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</si>
  <si>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</si>
  <si>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</si>
  <si>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</si>
  <si>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</si>
  <si>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</si>
  <si>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</si>
  <si>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</si>
  <si>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</si>
  <si>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</si>
  <si>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</si>
  <si>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</si>
  <si>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</si>
  <si>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</si>
  <si>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</si>
  <si>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</si>
  <si>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</si>
  <si>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</si>
  <si>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</si>
  <si>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</si>
  <si>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</si>
  <si>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</si>
  <si>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</si>
  <si>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</si>
  <si>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</si>
  <si>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</si>
  <si>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</si>
  <si>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</si>
  <si>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</si>
  <si>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</si>
  <si>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</si>
  <si>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</si>
  <si>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</si>
  <si>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</si>
  <si>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</si>
  <si>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</si>
  <si>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</si>
  <si>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</si>
  <si>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</si>
  <si>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</si>
  <si>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</si>
  <si>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</si>
  <si>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</si>
  <si>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</si>
  <si>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</si>
  <si>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</si>
  <si>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</si>
  <si>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</si>
  <si>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</si>
  <si>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</si>
  <si>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</si>
  <si>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</si>
  <si>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</si>
  <si>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</si>
  <si>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</si>
  <si>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</si>
  <si>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</si>
  <si>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</si>
  <si>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</si>
  <si>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</si>
  <si>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</si>
  <si>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</si>
  <si>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</si>
  <si>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</si>
  <si>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</si>
  <si>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</si>
  <si>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</si>
  <si>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</si>
  <si>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</si>
  <si>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</si>
  <si>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</si>
  <si>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</si>
  <si>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</si>
  <si>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</si>
  <si>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</si>
  <si>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</si>
  <si>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</si>
  <si>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</si>
  <si>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</si>
  <si>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</si>
  <si>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</si>
  <si>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</si>
  <si>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</si>
  <si>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</si>
  <si>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</si>
  <si>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</si>
  <si>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</si>
  <si>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</si>
  <si>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</si>
  <si>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</si>
  <si>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</si>
  <si>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</si>
  <si>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</si>
  <si>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</si>
  <si>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</si>
  <si>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</si>
  <si>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</si>
  <si>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</si>
  <si>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</si>
  <si>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</si>
  <si>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</si>
  <si>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</si>
  <si>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</si>
  <si>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</si>
  <si>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</si>
  <si>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</si>
  <si>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</si>
  <si>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</si>
  <si>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</si>
  <si>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</si>
  <si>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</si>
  <si>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</si>
  <si>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</si>
  <si>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</si>
  <si>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</si>
  <si>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</si>
  <si>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</si>
  <si>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</si>
  <si>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</si>
  <si>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</si>
  <si>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</si>
  <si>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</si>
  <si>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</si>
  <si>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</si>
  <si>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</si>
  <si>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</si>
  <si>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</si>
  <si>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</si>
  <si>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</si>
  <si>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</si>
  <si>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</si>
  <si>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</si>
  <si>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</si>
  <si>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</si>
  <si>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</si>
  <si>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</si>
  <si>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</si>
  <si>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</si>
  <si>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</si>
  <si>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</si>
  <si>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</si>
  <si>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</si>
  <si>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</si>
  <si>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</si>
  <si>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</si>
  <si>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</si>
  <si>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</si>
  <si>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</si>
  <si>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</si>
  <si>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</si>
  <si>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</si>
  <si>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</si>
  <si>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</si>
  <si>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</si>
  <si>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</si>
  <si>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</si>
  <si>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</si>
  <si>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</si>
  <si>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</si>
  <si>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</si>
  <si>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</si>
  <si>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</si>
  <si>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</si>
  <si>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</si>
  <si>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</si>
  <si>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</si>
  <si>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</si>
  <si>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</si>
  <si>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</si>
  <si>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</si>
  <si>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</si>
  <si>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</si>
  <si>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</si>
  <si>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</si>
  <si>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</si>
  <si>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</si>
  <si>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</si>
  <si>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</si>
  <si>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</si>
  <si>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</si>
  <si>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</si>
  <si>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</si>
  <si>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</si>
  <si>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</si>
  <si>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</si>
  <si>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</si>
  <si>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</si>
  <si>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</si>
  <si>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</si>
  <si>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</si>
  <si>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</si>
  <si>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</si>
  <si>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</si>
  <si>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</si>
  <si>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</si>
  <si>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</si>
  <si>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</si>
  <si>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</si>
  <si>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</si>
  <si>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</si>
  <si>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</si>
  <si>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</si>
  <si>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</si>
  <si>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</si>
  <si>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</si>
  <si>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</si>
  <si>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</si>
  <si>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</si>
  <si>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</si>
  <si>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</si>
  <si>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</si>
  <si>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</si>
  <si>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</si>
  <si>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</si>
  <si>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</si>
  <si>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</si>
  <si>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</si>
  <si>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</si>
  <si>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</si>
  <si>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</si>
  <si>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</si>
  <si>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</si>
  <si>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</si>
  <si>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</si>
  <si>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</si>
  <si>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</si>
  <si>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</si>
  <si>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</si>
  <si>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</si>
  <si>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</si>
  <si>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</si>
  <si>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</si>
  <si>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</si>
  <si>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</si>
  <si>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</si>
  <si>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</si>
  <si>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</si>
  <si>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</si>
  <si>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</si>
  <si>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</si>
  <si>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</si>
  <si>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</si>
  <si>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</si>
  <si>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</si>
  <si>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</si>
  <si>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</si>
  <si>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</si>
  <si>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</si>
  <si>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</si>
  <si>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</si>
  <si>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</si>
  <si>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</si>
  <si>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</si>
  <si>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</si>
  <si>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</si>
  <si>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</si>
  <si>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</si>
  <si>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</si>
  <si>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</si>
  <si>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</si>
  <si>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</si>
  <si>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</si>
  <si>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</si>
  <si>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</si>
  <si>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</si>
  <si>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</si>
  <si>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</si>
  <si>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</si>
  <si>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</si>
  <si>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</si>
  <si>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</si>
  <si>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</si>
  <si>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</si>
  <si>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</si>
  <si>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</si>
  <si>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</si>
  <si>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</si>
  <si>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</si>
  <si>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</si>
  <si>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</si>
  <si>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</si>
  <si>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</si>
  <si>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</si>
  <si>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</si>
  <si>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</si>
  <si>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</si>
  <si>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</si>
  <si>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</si>
  <si>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</si>
  <si>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</si>
  <si>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</si>
  <si>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</si>
  <si>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</si>
  <si>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</si>
  <si>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</si>
  <si>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</si>
  <si>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</si>
  <si>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</si>
  <si>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</si>
  <si>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</si>
  <si>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</si>
  <si>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</si>
  <si>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</si>
  <si>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</si>
  <si>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</si>
  <si>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</si>
  <si>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</si>
  <si>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</si>
  <si>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</si>
  <si>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</si>
  <si>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</si>
  <si>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</si>
  <si>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</si>
  <si>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</si>
  <si>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</si>
  <si>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</si>
  <si>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</si>
  <si>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</si>
  <si>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</si>
  <si>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</si>
  <si>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</si>
  <si>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</si>
  <si>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</si>
  <si>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</si>
  <si>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</si>
  <si>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</si>
  <si>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</si>
  <si>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</si>
  <si>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</si>
  <si>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</si>
  <si>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</si>
  <si>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</si>
  <si>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</si>
  <si>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</si>
  <si>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</si>
  <si>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</si>
  <si>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</si>
  <si>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</si>
  <si>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</si>
  <si>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</si>
  <si>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</si>
  <si>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</si>
  <si>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</si>
  <si>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</si>
  <si>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</si>
  <si>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</si>
  <si>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</si>
  <si>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</si>
  <si>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</si>
  <si>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</si>
  <si>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</si>
  <si>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</si>
  <si>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</si>
  <si>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</si>
  <si>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</si>
  <si>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</si>
  <si>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</si>
  <si>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</si>
  <si>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</si>
  <si>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</si>
  <si>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</si>
  <si>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</si>
  <si>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</si>
  <si>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</si>
  <si>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</si>
  <si>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</si>
  <si>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</si>
  <si>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</si>
  <si>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</si>
  <si>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</si>
  <si>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</si>
  <si>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</si>
  <si>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</si>
  <si>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</si>
  <si>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</si>
  <si>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</si>
  <si>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</si>
  <si>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</si>
  <si>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</si>
  <si>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</si>
  <si>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</si>
  <si>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</si>
  <si>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</si>
  <si>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</si>
  <si>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</si>
  <si>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</si>
  <si>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</si>
  <si>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</si>
  <si>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</si>
  <si>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</si>
  <si>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</si>
  <si>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</si>
  <si>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</si>
  <si>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</si>
  <si>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</si>
  <si>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</si>
  <si>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</si>
  <si>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</si>
  <si>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</si>
  <si>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</si>
  <si>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</si>
  <si>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</si>
  <si>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</si>
  <si>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</si>
  <si>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</si>
  <si>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</si>
  <si>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</si>
  <si>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</si>
  <si>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</si>
  <si>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</si>
  <si>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</si>
  <si>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</si>
  <si>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</si>
  <si>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</si>
  <si>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</si>
  <si>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</si>
  <si>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</si>
  <si>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</si>
  <si>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</si>
  <si>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</si>
  <si>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</si>
  <si>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</si>
  <si>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</si>
  <si>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</si>
  <si>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</si>
  <si>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</si>
  <si>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</si>
  <si>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</si>
  <si>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</si>
  <si>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</si>
  <si>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</si>
  <si>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</si>
  <si>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</si>
  <si>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</si>
  <si>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</si>
  <si>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</si>
  <si>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</si>
  <si>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</si>
  <si>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</si>
  <si>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</si>
  <si>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</si>
  <si>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</si>
  <si>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</si>
  <si>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</si>
  <si>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</si>
  <si>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</si>
  <si>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</si>
  <si>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</si>
  <si>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</si>
  <si>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</si>
  <si>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</si>
  <si>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</si>
  <si>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</si>
  <si>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</si>
  <si>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</si>
  <si>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</si>
  <si>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</si>
  <si>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</si>
  <si>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</si>
  <si>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</si>
  <si>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</si>
  <si>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</si>
  <si>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</si>
  <si>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</si>
  <si>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</si>
  <si>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</si>
  <si>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</si>
  <si>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</si>
  <si>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</si>
  <si>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</si>
  <si>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</si>
  <si>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</si>
  <si>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</si>
  <si>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</si>
  <si>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</si>
  <si>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</si>
  <si>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</si>
  <si>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</si>
  <si>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</si>
  <si>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</si>
  <si>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</si>
  <si>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</si>
  <si>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</si>
  <si>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</si>
  <si>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</si>
  <si>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</si>
  <si>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</si>
  <si>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</si>
  <si>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</si>
  <si>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</si>
  <si>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</si>
  <si>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</si>
  <si>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</si>
  <si>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</si>
  <si>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</si>
  <si>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</si>
  <si>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</si>
  <si>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</si>
  <si>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</si>
  <si>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</si>
  <si>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</si>
  <si>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</si>
  <si>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</si>
  <si>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</si>
  <si>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</si>
  <si>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</si>
  <si>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</si>
  <si>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</si>
  <si>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</si>
  <si>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</si>
  <si>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</si>
  <si>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</si>
  <si>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</si>
  <si>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</si>
  <si>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</si>
  <si>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</si>
  <si>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</si>
  <si>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</si>
  <si>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</si>
  <si>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</si>
  <si>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</si>
  <si>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</si>
  <si>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</si>
  <si>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</si>
  <si>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</si>
  <si>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</si>
  <si>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</si>
  <si>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</si>
  <si>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</si>
  <si>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</si>
  <si>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</si>
  <si>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</si>
  <si>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</si>
  <si>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</si>
  <si>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</si>
  <si>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</si>
  <si>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</si>
  <si>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</si>
  <si>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</si>
  <si>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</si>
  <si>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</si>
  <si>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</si>
  <si>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</si>
  <si>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</si>
  <si>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</si>
  <si>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</si>
  <si>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</si>
  <si>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</si>
  <si>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</si>
  <si>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</si>
  <si>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</si>
  <si>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</si>
  <si>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</si>
  <si>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</si>
  <si>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</si>
  <si>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</si>
  <si>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</si>
  <si>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</si>
  <si>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</si>
  <si>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</si>
  <si>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</si>
  <si>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</si>
  <si>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</si>
  <si>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</si>
  <si>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</si>
  <si>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</si>
  <si>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</si>
  <si>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</si>
  <si>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ROTA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</si>
</sst>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KN6Cn0RQGxF52zjxBNWFlw63r5+g4paDjsTymNzC/qIC4Vp3zCXzOINdPFtfngWs16gEjdcOtY3Ni1nqHKbNQ==" saltValue="IYULjbNCmRXKImt6kdge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v>
      </c>
      <c r="D10" s="225">
        <f>IF(ISNUMBER(Datos!I10),Datos!I10," - ")</f>
        <v>3</v>
      </c>
      <c r="E10" s="226">
        <f>IF(ISNUMBER(Datos!J10),Datos!J10," - ")</f>
        <v>2</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0.66666666666666663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38.801369863013697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v>
      </c>
      <c r="D13" s="1049">
        <f>SUBTOTAL(9,D9:D12)</f>
        <v>3</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596</v>
      </c>
      <c r="D16" s="225">
        <f>IF(ISNUMBER(IF(D_I="SI",Datos!I16,Datos!I16+Datos!AC16)),IF(D_I="SI",Datos!I16,Datos!I16+Datos!AC16)," - ")</f>
        <v>596</v>
      </c>
      <c r="E16" s="226">
        <f>IF(ISNUMBER(IF(D_I="SI",Datos!J16,Datos!J16+Datos!AD16)),IF(D_I="SI",Datos!J16,Datos!J16+Datos!AD16)," - ")</f>
        <v>246</v>
      </c>
      <c r="F16" s="226">
        <f>IF(ISNUMBER(IF(D_I="SI",Datos!K16,Datos!K16+Datos!AE16)),IF(D_I="SI",Datos!K16,Datos!K16+Datos!AE16)," - ")</f>
        <v>253</v>
      </c>
      <c r="G16" s="1034" t="str">
        <f>IF(Datos!E16&lt;&gt;"",Datos!E16,Datos!D16)</f>
        <v>04</v>
      </c>
      <c r="H16" s="227">
        <f>IF(ISNUMBER(IF(D_I="SI",Datos!L16,Datos!L16+Datos!AF16)),IF(D_I="SI",Datos!L16,Datos!L16+Datos!AF16)," - ")</f>
        <v>589</v>
      </c>
      <c r="I16" s="1044" t="str">
        <f>IF(ISNUMBER(Datos!AS16/Datos!BM16),Datos!AS16/Datos!BM16," - ")</f>
        <v xml:space="preserve"> - </v>
      </c>
      <c r="J16" s="1045">
        <f>IF(ISNUMBER(Datos!BY16/Datos!CN16),Datos!BY16/Datos!CN16," - ")</f>
        <v>0</v>
      </c>
      <c r="K16" s="230">
        <f t="shared" si="3"/>
        <v>-1.1744966442953021E-2</v>
      </c>
      <c r="L16" s="1025">
        <f>IF(ISNUMBER(NºAsuntos!I16/NºAsuntos!G16),(NºAsuntos!I16/NºAsuntos!G16)*11," - ")</f>
        <v>25.60869565217391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28</v>
      </c>
      <c r="F17" s="226">
        <f>IF(ISNUMBER(IF(D_I="SI",Datos!K17,Datos!K17+Datos!AE17)),IF(D_I="SI",Datos!K17,Datos!K17+Datos!AE17)," - ")</f>
        <v>24</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8.7083333333333321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611</v>
      </c>
      <c r="D18" s="1049">
        <f>SUBTOTAL(9,D15:D17)</f>
        <v>611</v>
      </c>
      <c r="E18" s="1050">
        <f>SUBTOTAL(9,E15:E17)</f>
        <v>274</v>
      </c>
      <c r="F18" s="1050">
        <f>SUBTOTAL(9,F15:F17)</f>
        <v>277</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614</v>
      </c>
      <c r="D19" s="1071">
        <f>SUBTOTAL(9,D9:D18)</f>
        <v>614</v>
      </c>
      <c r="E19" s="1072">
        <f>SUBTOTAL(9,E9:E18)</f>
        <v>276</v>
      </c>
      <c r="F19" s="1072">
        <f>SUBTOTAL(9,F9:F18)</f>
        <v>277</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Iu5IhWHjpdWxKeUtdnkI7SENHCn4sSYKdt+09Gg++sxsVXHms9aZc05CAIhWx1w+9mJYOzYpyoce9+T39Aaljg==" saltValue="kNd+GVuxpwYnKZ5EXB0go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1q3o7M2WZ3++JDV8Lq4IaxGn6rT72gOI7PTO6Om5GAU7bDxrfWq/tXwbR1E/3S70X6yRLq7apIVDc56PsnK0g==" saltValue="ktlL2z8t2MHlfuk3+A8r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v>
      </c>
      <c r="J10" s="181">
        <v>2</v>
      </c>
      <c r="K10" s="181">
        <v>0</v>
      </c>
      <c r="L10" s="181">
        <v>5</v>
      </c>
      <c r="M10" s="181">
        <v>0</v>
      </c>
      <c r="N10" s="181">
        <v>0</v>
      </c>
      <c r="O10" s="181">
        <v>0</v>
      </c>
      <c r="P10" s="181">
        <v>0</v>
      </c>
      <c r="Q10" s="181">
        <v>0</v>
      </c>
      <c r="R10" s="181">
        <v>0</v>
      </c>
      <c r="S10" s="181">
        <v>6</v>
      </c>
      <c r="T10" s="181">
        <v>1</v>
      </c>
      <c r="U10" s="181">
        <v>2</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2</v>
      </c>
      <c r="BB10" s="129">
        <f t="shared" si="0"/>
        <v>5</v>
      </c>
      <c r="BC10" s="125">
        <f t="shared" si="0"/>
        <v>1</v>
      </c>
      <c r="BD10" s="126">
        <f>IF(ISNUMBER(BA10/AZ10),BA10/AZ10," - ")</f>
        <v>2</v>
      </c>
      <c r="BE10" s="127">
        <f>IF(ISNUMBER(BB10/BA10),BB10/BA10, " - ")</f>
        <v>2.5</v>
      </c>
      <c r="BF10" s="127">
        <f>IF(ISNUMBER(BC10/BA10),BC10/BA10, " - ")</f>
        <v>0.5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891</v>
      </c>
      <c r="J12" s="183">
        <v>380</v>
      </c>
      <c r="K12" s="183">
        <v>269</v>
      </c>
      <c r="L12" s="183">
        <v>1002</v>
      </c>
      <c r="M12" s="183">
        <v>81</v>
      </c>
      <c r="N12" s="183">
        <v>129</v>
      </c>
      <c r="O12" s="181">
        <v>121</v>
      </c>
      <c r="P12" s="183">
        <v>56</v>
      </c>
      <c r="Q12" s="183">
        <v>41</v>
      </c>
      <c r="R12" s="183">
        <v>1392</v>
      </c>
      <c r="S12" s="183">
        <v>698</v>
      </c>
      <c r="T12" s="183">
        <v>327</v>
      </c>
      <c r="U12" s="183">
        <v>291</v>
      </c>
      <c r="V12" s="183">
        <v>734</v>
      </c>
      <c r="W12" s="183">
        <v>88</v>
      </c>
      <c r="X12" s="189">
        <v>124</v>
      </c>
      <c r="Y12" s="191">
        <v>30</v>
      </c>
      <c r="Z12" s="181">
        <v>21</v>
      </c>
      <c r="AA12" s="181">
        <v>23</v>
      </c>
      <c r="AB12" s="181">
        <v>28</v>
      </c>
      <c r="AC12" s="183">
        <v>0</v>
      </c>
      <c r="AD12" s="183">
        <v>0</v>
      </c>
      <c r="AE12" s="183">
        <v>0</v>
      </c>
      <c r="AF12" s="189">
        <v>0</v>
      </c>
      <c r="AG12" s="202">
        <v>22</v>
      </c>
      <c r="AH12" s="183">
        <v>23</v>
      </c>
      <c r="AI12" s="183">
        <v>33</v>
      </c>
      <c r="AJ12" s="203">
        <v>12</v>
      </c>
      <c r="AK12" s="182">
        <v>0</v>
      </c>
      <c r="AL12" s="183">
        <v>0</v>
      </c>
      <c r="AM12" s="183">
        <v>0</v>
      </c>
      <c r="AN12" s="189">
        <v>0</v>
      </c>
      <c r="AO12" s="259">
        <v>2</v>
      </c>
      <c r="AP12" s="155">
        <v>2</v>
      </c>
      <c r="AQ12" s="155">
        <v>2</v>
      </c>
      <c r="AR12" s="154">
        <v>2</v>
      </c>
      <c r="AS12" s="340" t="s">
        <v>802</v>
      </c>
      <c r="AT12" s="203"/>
      <c r="AU12" s="202"/>
      <c r="AV12" s="203"/>
      <c r="AW12" s="202"/>
      <c r="AX12" s="203"/>
      <c r="AY12" s="126">
        <f t="shared" si="1"/>
        <v>720</v>
      </c>
      <c r="AZ12" s="127">
        <f t="shared" si="1"/>
        <v>350</v>
      </c>
      <c r="BA12" s="127">
        <f t="shared" si="1"/>
        <v>324</v>
      </c>
      <c r="BB12" s="127">
        <f t="shared" si="1"/>
        <v>746</v>
      </c>
      <c r="BC12" s="125">
        <f>IF(ISNUMBER(X12),X12," - ")</f>
        <v>124</v>
      </c>
      <c r="BD12" s="126">
        <f t="shared" si="2"/>
        <v>0.92571428571428571</v>
      </c>
      <c r="BE12" s="127">
        <f t="shared" si="3"/>
        <v>2.3024691358024691</v>
      </c>
      <c r="BF12" s="127">
        <f t="shared" si="4"/>
        <v>0.38271604938271603</v>
      </c>
      <c r="BG12" s="196">
        <f t="shared" si="5"/>
        <v>3.3024691358024691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894</v>
      </c>
      <c r="J13" s="184">
        <f t="shared" si="6"/>
        <v>382</v>
      </c>
      <c r="K13" s="184">
        <f t="shared" si="6"/>
        <v>269</v>
      </c>
      <c r="L13" s="184">
        <f t="shared" si="6"/>
        <v>1007</v>
      </c>
      <c r="M13" s="184">
        <f t="shared" si="6"/>
        <v>81</v>
      </c>
      <c r="N13" s="184">
        <f t="shared" si="6"/>
        <v>129</v>
      </c>
      <c r="O13" s="184">
        <f t="shared" si="6"/>
        <v>121</v>
      </c>
      <c r="P13" s="184">
        <f t="shared" si="6"/>
        <v>56</v>
      </c>
      <c r="Q13" s="184">
        <f t="shared" si="6"/>
        <v>41</v>
      </c>
      <c r="R13" s="184">
        <f t="shared" si="6"/>
        <v>1392</v>
      </c>
      <c r="S13" s="184">
        <f t="shared" si="6"/>
        <v>704</v>
      </c>
      <c r="T13" s="184">
        <f t="shared" si="6"/>
        <v>328</v>
      </c>
      <c r="U13" s="184">
        <f t="shared" si="6"/>
        <v>293</v>
      </c>
      <c r="V13" s="184">
        <f t="shared" si="6"/>
        <v>739</v>
      </c>
      <c r="W13" s="184">
        <f t="shared" si="6"/>
        <v>89</v>
      </c>
      <c r="X13" s="184">
        <f t="shared" si="6"/>
        <v>124</v>
      </c>
      <c r="Y13" s="184">
        <f t="shared" si="6"/>
        <v>30</v>
      </c>
      <c r="Z13" s="184">
        <f t="shared" si="6"/>
        <v>21</v>
      </c>
      <c r="AA13" s="184">
        <f t="shared" si="6"/>
        <v>23</v>
      </c>
      <c r="AB13" s="184">
        <f t="shared" si="6"/>
        <v>28</v>
      </c>
      <c r="AC13" s="184">
        <f t="shared" si="6"/>
        <v>0</v>
      </c>
      <c r="AD13" s="184">
        <f t="shared" si="6"/>
        <v>0</v>
      </c>
      <c r="AE13" s="184">
        <f t="shared" si="6"/>
        <v>0</v>
      </c>
      <c r="AF13" s="184">
        <f>SUBTOTAL(9,AF9:AF12)</f>
        <v>0</v>
      </c>
      <c r="AG13" s="184">
        <f t="shared" ref="AG13:AT13" si="7">SUBTOTAL(9,AG8:AG12)</f>
        <v>22</v>
      </c>
      <c r="AH13" s="184">
        <f t="shared" si="7"/>
        <v>23</v>
      </c>
      <c r="AI13" s="184">
        <f t="shared" si="7"/>
        <v>33</v>
      </c>
      <c r="AJ13" s="184">
        <f t="shared" si="7"/>
        <v>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726</v>
      </c>
      <c r="AZ13" s="184">
        <f>SUBTOTAL(9,AZ8:AZ12)</f>
        <v>351</v>
      </c>
      <c r="BA13" s="184">
        <f>SUBTOTAL(9,BA8:BA12)</f>
        <v>326</v>
      </c>
      <c r="BB13" s="184">
        <f>SUBTOTAL(9,BB8:BB12)</f>
        <v>751</v>
      </c>
      <c r="BC13" s="184">
        <f>SUBTOTAL(9,BC8:BC12)</f>
        <v>125</v>
      </c>
      <c r="BD13" s="205">
        <f>IF(ISNUMBER(BA13/AZ13),BA13/AZ13," - ")</f>
        <v>0.92877492877492873</v>
      </c>
      <c r="BE13" s="206">
        <f>IF(ISNUMBER(BB13/BA13),BB13/BA13, " - ")</f>
        <v>2.3036809815950918</v>
      </c>
      <c r="BF13" s="206">
        <f>IF(ISNUMBER(BC13/BA13),BC13/BA13, " - ")</f>
        <v>0.3834355828220859</v>
      </c>
      <c r="BG13" s="207">
        <f>IF(ISNUMBER((AY13+AZ13)/BA13),(AY13+AZ13)/BA13," - ")</f>
        <v>3.3036809815950918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596</v>
      </c>
      <c r="J16" s="183">
        <v>246</v>
      </c>
      <c r="K16" s="183">
        <v>253</v>
      </c>
      <c r="L16" s="183">
        <v>589</v>
      </c>
      <c r="M16" s="183">
        <v>41</v>
      </c>
      <c r="N16" s="183">
        <v>141</v>
      </c>
      <c r="O16" s="181">
        <v>0</v>
      </c>
      <c r="P16" s="183">
        <v>10</v>
      </c>
      <c r="Q16" s="183">
        <v>5</v>
      </c>
      <c r="R16" s="183">
        <v>59</v>
      </c>
      <c r="S16" s="183">
        <v>591</v>
      </c>
      <c r="T16" s="183">
        <v>300</v>
      </c>
      <c r="U16" s="183">
        <v>332</v>
      </c>
      <c r="V16" s="183">
        <v>559</v>
      </c>
      <c r="W16" s="183">
        <v>32</v>
      </c>
      <c r="X16" s="189">
        <v>179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591</v>
      </c>
      <c r="AZ16" s="127">
        <f t="shared" si="9"/>
        <v>300</v>
      </c>
      <c r="BA16" s="127">
        <f t="shared" si="9"/>
        <v>332</v>
      </c>
      <c r="BB16" s="127">
        <f t="shared" si="9"/>
        <v>559</v>
      </c>
      <c r="BC16" s="125">
        <f>IF(ISNUMBER(W16),W16," - ")</f>
        <v>32</v>
      </c>
      <c r="BD16" s="126">
        <f t="shared" ref="BD16" si="11">IF(ISNUMBER(BA16/AZ16),BA16/AZ16," - ")</f>
        <v>1.1066666666666667</v>
      </c>
      <c r="BE16" s="127">
        <f t="shared" ref="BE16" si="12">IF(ISNUMBER(BB16/BA16),BB16/BA16, " - ")</f>
        <v>1.6837349397590362</v>
      </c>
      <c r="BF16" s="127">
        <f t="shared" ref="BF16" si="13">IF(ISNUMBER(BC16/BA16),BC16/BA16, " - ")</f>
        <v>9.6385542168674704E-2</v>
      </c>
      <c r="BG16" s="196">
        <f t="shared" si="10"/>
        <v>2.6837349397590362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15</v>
      </c>
      <c r="J17" s="183">
        <v>28</v>
      </c>
      <c r="K17" s="183">
        <v>24</v>
      </c>
      <c r="L17" s="183">
        <v>19</v>
      </c>
      <c r="M17" s="183">
        <v>5</v>
      </c>
      <c r="N17" s="183">
        <v>16</v>
      </c>
      <c r="O17" s="183">
        <v>0</v>
      </c>
      <c r="P17" s="183">
        <v>0</v>
      </c>
      <c r="Q17" s="183">
        <v>0</v>
      </c>
      <c r="R17" s="183">
        <v>0</v>
      </c>
      <c r="S17" s="183">
        <v>23</v>
      </c>
      <c r="T17" s="183">
        <v>44</v>
      </c>
      <c r="U17" s="183">
        <v>42</v>
      </c>
      <c r="V17" s="183">
        <v>25</v>
      </c>
      <c r="W17" s="183">
        <v>4</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44</v>
      </c>
      <c r="BA17" s="129">
        <f t="shared" si="14"/>
        <v>42</v>
      </c>
      <c r="BB17" s="129">
        <f t="shared" si="14"/>
        <v>25</v>
      </c>
      <c r="BC17" s="125">
        <f>IF(ISNUMBER(W17),W17," - ")</f>
        <v>4</v>
      </c>
      <c r="BD17" s="126">
        <f>IF(ISNUMBER(BA17/AZ17),BA17/AZ17," - ")</f>
        <v>0.95454545454545459</v>
      </c>
      <c r="BE17" s="127">
        <f>IF(ISNUMBER(BB17/BA17),BB17/BA17, " - ")</f>
        <v>0.59523809523809523</v>
      </c>
      <c r="BF17" s="127">
        <f>IF(ISNUMBER(BC17/BA17),BC17/BA17, " - ")</f>
        <v>9.5238095238095233E-2</v>
      </c>
      <c r="BG17" s="196">
        <f>IF(ISNUMBER((AY17+AZ17)/BA17),(AY17+AZ17)/BA17," - ")</f>
        <v>1.5952380952380953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611</v>
      </c>
      <c r="J18" s="184">
        <f t="shared" si="15"/>
        <v>274</v>
      </c>
      <c r="K18" s="184">
        <f t="shared" si="15"/>
        <v>277</v>
      </c>
      <c r="L18" s="184">
        <f t="shared" si="15"/>
        <v>608</v>
      </c>
      <c r="M18" s="184">
        <f t="shared" si="15"/>
        <v>46</v>
      </c>
      <c r="N18" s="184">
        <f t="shared" si="15"/>
        <v>157</v>
      </c>
      <c r="O18" s="184">
        <f t="shared" si="15"/>
        <v>0</v>
      </c>
      <c r="P18" s="184">
        <f t="shared" si="15"/>
        <v>10</v>
      </c>
      <c r="Q18" s="184">
        <f t="shared" si="15"/>
        <v>5</v>
      </c>
      <c r="R18" s="184">
        <f t="shared" si="15"/>
        <v>59</v>
      </c>
      <c r="S18" s="184">
        <f t="shared" si="15"/>
        <v>614</v>
      </c>
      <c r="T18" s="184">
        <f t="shared" si="15"/>
        <v>344</v>
      </c>
      <c r="U18" s="184">
        <f t="shared" si="15"/>
        <v>374</v>
      </c>
      <c r="V18" s="184">
        <f t="shared" si="15"/>
        <v>584</v>
      </c>
      <c r="W18" s="184">
        <f t="shared" si="15"/>
        <v>36</v>
      </c>
      <c r="X18" s="184">
        <f t="shared" si="15"/>
        <v>211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614</v>
      </c>
      <c r="AZ18" s="184">
        <f>SUBTOTAL(9,AZ14:AZ17)</f>
        <v>344</v>
      </c>
      <c r="BA18" s="184">
        <f>SUBTOTAL(9,BA14:BA17)</f>
        <v>374</v>
      </c>
      <c r="BB18" s="184">
        <f>SUBTOTAL(9,BB14:BB17)</f>
        <v>584</v>
      </c>
      <c r="BC18" s="184">
        <f>SUBTOTAL(9,BC14:BC17)</f>
        <v>36</v>
      </c>
      <c r="BD18" s="205">
        <f>IF(ISNUMBER(BA18/AZ18),BA18/AZ18," - ")</f>
        <v>1.0872093023255813</v>
      </c>
      <c r="BE18" s="206">
        <f>IF(ISNUMBER(BB18/BA18),BB18/BA18, " - ")</f>
        <v>1.5614973262032086</v>
      </c>
      <c r="BF18" s="206">
        <f>IF(ISNUMBER(BC18/BA18),BC18/BA18, " - ")</f>
        <v>9.6256684491978606E-2</v>
      </c>
      <c r="BG18" s="207">
        <f>IF(ISNUMBER((AY18+AZ18)/BA18),(AY18+AZ18)/BA18," - ")</f>
        <v>2.5614973262032086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1505</v>
      </c>
      <c r="J19" s="134">
        <f t="shared" si="18"/>
        <v>656</v>
      </c>
      <c r="K19" s="134">
        <f t="shared" si="18"/>
        <v>546</v>
      </c>
      <c r="L19" s="134">
        <f t="shared" si="18"/>
        <v>1615</v>
      </c>
      <c r="M19" s="134">
        <f t="shared" si="18"/>
        <v>127</v>
      </c>
      <c r="N19" s="134">
        <f t="shared" si="18"/>
        <v>286</v>
      </c>
      <c r="O19" s="134">
        <f t="shared" si="18"/>
        <v>121</v>
      </c>
      <c r="P19" s="134">
        <f t="shared" si="18"/>
        <v>66</v>
      </c>
      <c r="Q19" s="134">
        <f t="shared" si="18"/>
        <v>46</v>
      </c>
      <c r="R19" s="134">
        <f t="shared" si="18"/>
        <v>1451</v>
      </c>
      <c r="S19" s="134">
        <f t="shared" si="18"/>
        <v>1318</v>
      </c>
      <c r="T19" s="134">
        <f t="shared" si="18"/>
        <v>672</v>
      </c>
      <c r="U19" s="134">
        <f t="shared" si="18"/>
        <v>667</v>
      </c>
      <c r="V19" s="134">
        <f t="shared" si="18"/>
        <v>1323</v>
      </c>
      <c r="W19" s="134">
        <f t="shared" si="18"/>
        <v>125</v>
      </c>
      <c r="X19" s="134">
        <f t="shared" si="18"/>
        <v>335</v>
      </c>
      <c r="Y19" s="134">
        <f t="shared" si="18"/>
        <v>30</v>
      </c>
      <c r="Z19" s="134">
        <f t="shared" si="18"/>
        <v>21</v>
      </c>
      <c r="AA19" s="134">
        <f t="shared" si="18"/>
        <v>23</v>
      </c>
      <c r="AB19" s="134">
        <f t="shared" si="18"/>
        <v>28</v>
      </c>
      <c r="AC19" s="134">
        <f t="shared" si="18"/>
        <v>0</v>
      </c>
      <c r="AD19" s="134">
        <f t="shared" si="18"/>
        <v>1</v>
      </c>
      <c r="AE19" s="134">
        <f t="shared" si="18"/>
        <v>1</v>
      </c>
      <c r="AF19" s="134">
        <f t="shared" si="18"/>
        <v>0</v>
      </c>
      <c r="AG19" s="134">
        <f t="shared" si="18"/>
        <v>22</v>
      </c>
      <c r="AH19" s="134">
        <f t="shared" si="18"/>
        <v>23</v>
      </c>
      <c r="AI19" s="134">
        <f t="shared" si="18"/>
        <v>33</v>
      </c>
      <c r="AJ19" s="134">
        <f t="shared" si="18"/>
        <v>12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1340</v>
      </c>
      <c r="AZ19" s="134">
        <f>SUBTOTAL(9,AZ9:AZ18)</f>
        <v>695</v>
      </c>
      <c r="BA19" s="134">
        <f>SUBTOTAL(9,BA9:BA18)</f>
        <v>700</v>
      </c>
      <c r="BB19" s="134">
        <f>SUBTOTAL(9,BB9:BB18)</f>
        <v>1335</v>
      </c>
      <c r="BC19" s="135">
        <f>SUBTOTAL(9,BC9:BC18)</f>
        <v>161</v>
      </c>
      <c r="BD19" s="213">
        <f>IF(ISNUMBER(BA19/AZ19),BA19/AZ19," - ")</f>
        <v>1.0071942446043165</v>
      </c>
      <c r="BE19" s="210">
        <f>IF(ISNUMBER(BB19/BA19),BB19/BA19, " - ")</f>
        <v>1.9071428571428573</v>
      </c>
      <c r="BF19" s="210">
        <f>IF(ISNUMBER(BC19/BA19),BC19/BA19, " - ")</f>
        <v>0.23</v>
      </c>
      <c r="BG19" s="135">
        <f>IF(ISNUMBER((AY19+AZ19)/BA19),(AY19+AZ19)/BA19," - ")</f>
        <v>2.907142857142857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uMwpaOKmCZJo9jyfMdvbob08HUrvg/8FIfx21VqhhCMIe7gn0FcSaWRGcEdaIx4rq830nSbAdv8za+MB01FRw==" saltValue="81vMOi4bBL88n1QUEBP+C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OQaKr+hE+eIdxeuBN6SmZ9pzdh3Vn2c4TBNdEf2iadZtjbLOfAmi5OXi9c0q5rZ+aPkxM8714px7veCFulwXsA==" saltValue="DjRHi5QK++SRZR0xGK4WB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ROTA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1392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129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0.72817955112219457</v>
      </c>
      <c r="BH12" s="260">
        <f>IF(ISNUMBER(((IF(J_V="SI",Datos!L12/Datos!K12,(Datos!L12+Datos!AB12)/(Datos!K12+Datos!AA12)))*11)/factor_trimestre),((IF(J_V="SI",Datos!L12/Datos!K12,(Datos!L12+Datos!AB12)/(Datos!K12+Datos!AA12)))*11)/factor_trimestre," - ")</f>
        <v>10.582191780821917</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1.0893246187363835E-2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41</v>
      </c>
      <c r="AD13" s="899">
        <f t="shared" si="1"/>
        <v>0</v>
      </c>
      <c r="AE13" s="899">
        <f t="shared" si="1"/>
        <v>0</v>
      </c>
      <c r="AF13" s="899">
        <f t="shared" si="1"/>
        <v>5</v>
      </c>
      <c r="AG13" s="899">
        <f t="shared" si="1"/>
        <v>0</v>
      </c>
      <c r="AH13" s="899">
        <f t="shared" si="1"/>
        <v>28</v>
      </c>
      <c r="AI13" s="899">
        <f t="shared" si="1"/>
        <v>0</v>
      </c>
      <c r="AJ13" s="899">
        <f t="shared" si="1"/>
        <v>0</v>
      </c>
      <c r="AK13" s="899">
        <f t="shared" si="1"/>
        <v>0</v>
      </c>
      <c r="AL13" s="899">
        <f t="shared" si="1"/>
        <v>0</v>
      </c>
      <c r="AM13" s="899">
        <f t="shared" si="1"/>
        <v>1392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v>
      </c>
      <c r="BD13" s="899">
        <f t="shared" si="1"/>
        <v>129</v>
      </c>
      <c r="BE13" s="899">
        <f t="shared" si="1"/>
        <v>0</v>
      </c>
      <c r="BF13" s="899">
        <f t="shared" si="1"/>
        <v>0</v>
      </c>
      <c r="BG13" s="899">
        <f>IF(ISNUMBER(Datos!K13/Datos!J13),Datos!K13/Datos!J13," - ")</f>
        <v>0.70418848167539272</v>
      </c>
      <c r="BH13" s="903">
        <f>IF(ISNUMBER(((Datos!L13/Datos!K13)*11)/factor_trimestre),((Datos!L13/Datos!K13)*11)/factor_trimestre," - ")</f>
        <v>11.230483271375466</v>
      </c>
      <c r="BI13" s="899">
        <f>IF(ISNUMBER('Resol  Asuntos'!D13/NºAsuntos!G13),'Resol  Asuntos'!D13/NºAsuntos!G13," - ")</f>
        <v>0.2773972602739726</v>
      </c>
      <c r="BJ13" s="899" t="str">
        <f>IF(ISNUMBER(Datos!CI13/Datos!CJ13),Datos!CI13/Datos!CJ13," - ")</f>
        <v xml:space="preserve"> - </v>
      </c>
      <c r="BK13" s="899">
        <f>SUBTOTAL(9,BK8:BK12)</f>
        <v>0</v>
      </c>
      <c r="BL13" s="899">
        <f>IF(ISNUMBER((I13-AB13+L13)/(F13)),(I13-AB13+L13)/(F13)," - ")</f>
        <v>0</v>
      </c>
      <c r="BM13" s="904">
        <f>SUBTOTAL(9,BM9:BM12)</f>
        <v>1.0893246187363835E-2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596</v>
      </c>
      <c r="G16" s="598">
        <f>IF(ISNUMBER(IF(D_I="SI",Datos!I16,Datos!I16+Datos!AC16)),IF(D_I="SI",Datos!I16,Datos!I16+Datos!AC16)," - ")</f>
        <v>596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253</v>
      </c>
      <c r="AC16" s="226">
        <f>IF(ISNUMBER(Datos!Q16),Datos!Q16," - ")</f>
        <v>5</v>
      </c>
      <c r="AD16" s="334"/>
      <c r="AE16" s="484"/>
      <c r="AF16" s="596">
        <f>IF(ISNUMBER(IF(D_I="SI",Datos!L16,Datos!L16+Datos!AF16)),IF(D_I="SI",Datos!L16,Datos!L16+Datos!AF16)," - ")</f>
        <v>589</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1.0284552845528456</v>
      </c>
      <c r="BH16" s="260">
        <f>IF(ISNUMBER(((IF(D_I="SI",Datos!L16/Datos!K16,(Datos!L16+Datos!AF16)/(Datos!K16+Datos!AE16)))*11)/factor_trimestre),((IF(D_I="SI",Datos!L16/Datos!K16,(Datos!L16+Datos!AF16)/(Datos!K16+Datos!AE16)))*11)/factor_trimestre," - ")</f>
        <v>6.9841897233201573</v>
      </c>
      <c r="BI16" s="243">
        <f>IF(ISNUMBER('Resol  Asuntos'!D16/NºAsuntos!G16),'Resol  Asuntos'!D16/NºAsuntos!G16," - ")</f>
        <v>0.16205533596837945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2.3749999999999996</v>
      </c>
      <c r="BI17" s="243">
        <f>IF(ISNUMBER('Resol  Asuntos'!D17/NºAsuntos!G17),'Resol  Asuntos'!D17/NºAsuntos!G17," - ")</f>
        <v>0.20833333333333334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596</v>
      </c>
      <c r="G18" s="898">
        <f>SUBTOTAL(9,G15:G17)</f>
        <v>611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277</v>
      </c>
      <c r="AC18" s="899">
        <f t="shared" si="4"/>
        <v>5</v>
      </c>
      <c r="AD18" s="899">
        <f t="shared" si="4"/>
        <v>0</v>
      </c>
      <c r="AE18" s="899">
        <f t="shared" si="4"/>
        <v>0</v>
      </c>
      <c r="AF18" s="899">
        <f t="shared" si="4"/>
        <v>608</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157</v>
      </c>
      <c r="BE18" s="899">
        <f t="shared" si="4"/>
        <v>0</v>
      </c>
      <c r="BF18" s="899">
        <f t="shared" si="4"/>
        <v>0</v>
      </c>
      <c r="BG18" s="899">
        <f>IF(ISNUMBER(Datos!K18/Datos!J18),Datos!K18/Datos!J18," - ")</f>
        <v>1.0109489051094891</v>
      </c>
      <c r="BH18" s="903">
        <f>IF(ISNUMBER(((Datos!L18/Datos!K18)*11)/factor_trimestre),((Datos!L18/Datos!K18)*11)/factor_trimestre," - ")</f>
        <v>6.584837545126355</v>
      </c>
      <c r="BI18" s="899">
        <f>SUBTOTAL(9,BI15:BI17)</f>
        <v>0.37038866930171277</v>
      </c>
      <c r="BJ18" s="899">
        <f>SUBTOTAL(9,BJ15:BJ17)</f>
        <v>0</v>
      </c>
      <c r="BK18" s="899">
        <f>SUBTOTAL(9,BK15:BK17)</f>
        <v>0</v>
      </c>
      <c r="BL18" s="899">
        <f>IF(ISNUMBER((I18-AB18+L18)/(F18)),(I18-AB18+L18)/(F18)," - ")</f>
        <v>-0.46476510067114096</v>
      </c>
      <c r="BM18" s="905">
        <f>IF(ISNUMBER((Datos!P18-Datos!Q18)/(Datos!R18-Datos!P18+Datos!Q18)),(Datos!P18-Datos!Q18)/(Datos!R18-Datos!P18+Datos!Q18)," - ")</f>
        <v>9.2592592592592587E-2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599</v>
      </c>
      <c r="G19" s="820">
        <f t="shared" si="6"/>
        <v>614</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277</v>
      </c>
      <c r="AC19" s="821">
        <f t="shared" si="7"/>
        <v>46</v>
      </c>
      <c r="AD19" s="821">
        <f t="shared" si="7"/>
        <v>0</v>
      </c>
      <c r="AE19" s="821">
        <f t="shared" si="7"/>
        <v>0</v>
      </c>
      <c r="AF19" s="828">
        <f t="shared" si="7"/>
        <v>613</v>
      </c>
      <c r="AG19" s="828">
        <f t="shared" si="7"/>
        <v>0</v>
      </c>
      <c r="AH19" s="828">
        <f t="shared" si="7"/>
        <v>28</v>
      </c>
      <c r="AI19" s="828">
        <f t="shared" si="7"/>
        <v>0</v>
      </c>
      <c r="AJ19" s="821">
        <f t="shared" si="7"/>
        <v>0</v>
      </c>
      <c r="AK19" s="828">
        <f t="shared" si="7"/>
        <v>0</v>
      </c>
      <c r="AL19" s="828">
        <f t="shared" si="7"/>
        <v>0</v>
      </c>
      <c r="AM19" s="828">
        <f t="shared" si="7"/>
        <v>1451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286</v>
      </c>
      <c r="BE19" s="820">
        <f t="shared" si="7"/>
        <v>0</v>
      </c>
      <c r="BF19" s="830">
        <f t="shared" si="7"/>
        <v>0</v>
      </c>
      <c r="BG19" s="915">
        <f>IF(ISNUMBER(Datos!K19/Datos!J19),Datos!K19/Datos!J19," - ")</f>
        <v>0.83231707317073167</v>
      </c>
      <c r="BH19" s="915">
        <f>IF(ISNUMBER(((Datos!L19/Datos!K19)*11)/factor_trimestre),((Datos!L19/Datos!K19)*11)/factor_trimestre," - ")</f>
        <v>8.8736263736263741</v>
      </c>
      <c r="BI19" s="813">
        <f>IF(ISNUMBER(Datos!J19/Datos!I19),Datos!J19/Datos!I19," - ")</f>
        <v>0.43588039867109635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-0.46243739565943237</v>
      </c>
      <c r="BM19" s="889">
        <f>IF(ISNUMBER((Datos!P19-Datos!Q19+R19)/(Datos!R19-Datos!P19+Datos!Q19-R19)),(Datos!P19-Datos!Q19+R19)/(Datos!R19-Datos!P19+Datos!Q19-R19)," - ")</f>
        <v>1.3976240391334731E-2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342.36870962944806</v>
      </c>
      <c r="G21" s="552">
        <f>IF(ISNUMBER(STDEV(G8:G18)),STDEV(G8:G18),"-")</f>
        <v>326.79626680854238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141.36017826813887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35.189013436961638</v>
      </c>
      <c r="BD21" s="551"/>
      <c r="BE21" s="551">
        <f>IF(ISNUMBER(STDEV(BE8:BE18)),STDEV(BE8:BE18),"-")</f>
        <v>0</v>
      </c>
      <c r="BF21" s="556">
        <f>IF(ISNUMBER(STDEV(BF8:BF18)),STDEV(BF8:BF18),"-")</f>
        <v>0</v>
      </c>
      <c r="BG21" s="775">
        <f>IF(ISNUMBER(STDEV(BG8:BG18)),STDEV(BG8:BG18),"-")</f>
        <v>0.37876318563077471</v>
      </c>
      <c r="BH21" s="776">
        <f>IF(ISNUMBER(STDEV(BH8:BH18)),STDEV(BH8:BH18),"-")</f>
        <v>3.5627391132326984</v>
      </c>
      <c r="BI21" s="249">
        <f>IF(ISNUMBER(STDEV(BI8:BI18)),STDEV(BI8:BI18),"-")</f>
        <v>9.0612430343770797E-2</v>
      </c>
      <c r="BJ21" s="230" t="str">
        <f>IF(ISNUMBER(BL21/BM21),BL21/BM21," - ")</f>
        <v xml:space="preserve"> - </v>
      </c>
      <c r="BK21" s="575"/>
      <c r="BL21" s="559">
        <f>IF(ISNUMBER(STDEV(BL8:BL18)),STDEV(BL8:BL18),"-")</f>
        <v>0.32863855434341221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OxjchTn+oMFiYPiAUEnkggBJ7zZ6DWGCXGJJZEy+zW23IfDFgyXha1azQMnNF6FSH9a1lQ3ge+b6iEp8qrMLg==" saltValue="64Y2NPG2WxxOdJGL9uB1j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ROTA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1392</v>
      </c>
      <c r="AF12" s="229" t="str">
        <f>IF(ISNUMBER(Datos!BV12),Datos!BV12," - ")</f>
        <v xml:space="preserve"> - </v>
      </c>
      <c r="AG12" s="225" t="str">
        <f>IF(ISNUMBER(Datos!DV12),Datos!DV12," - ")</f>
        <v xml:space="preserve"> - </v>
      </c>
      <c r="AH12" s="298"/>
      <c r="AI12" s="227"/>
      <c r="AJ12" s="225">
        <f>IF(ISNUMBER(Datos!M12),Datos!M12," - ")</f>
        <v>81</v>
      </c>
      <c r="AK12" s="229">
        <f>IF(ISNUMBER(Datos!N12),Datos!N12," - ")</f>
        <v>129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10.582191780821917</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1.0893246187363835E-2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41</v>
      </c>
      <c r="AA13" s="900">
        <f t="shared" si="2"/>
        <v>5</v>
      </c>
      <c r="AB13" s="900">
        <f t="shared" si="2"/>
        <v>0</v>
      </c>
      <c r="AC13" s="900">
        <f t="shared" si="2"/>
        <v>0</v>
      </c>
      <c r="AD13" s="900">
        <f t="shared" si="2"/>
        <v>0</v>
      </c>
      <c r="AE13" s="900">
        <f t="shared" si="2"/>
        <v>1392</v>
      </c>
      <c r="AF13" s="908">
        <f t="shared" si="2"/>
        <v>0</v>
      </c>
      <c r="AG13" s="908">
        <f t="shared" si="2"/>
        <v>0</v>
      </c>
      <c r="AH13" s="908">
        <f t="shared" si="2"/>
        <v>0</v>
      </c>
      <c r="AI13" s="908">
        <f t="shared" si="2"/>
        <v>0</v>
      </c>
      <c r="AJ13" s="908">
        <f t="shared" si="2"/>
        <v>81</v>
      </c>
      <c r="AK13" s="908">
        <f t="shared" si="2"/>
        <v>129</v>
      </c>
      <c r="AL13" s="908">
        <f t="shared" si="2"/>
        <v>0</v>
      </c>
      <c r="AM13" s="908">
        <f t="shared" si="2"/>
        <v>0</v>
      </c>
      <c r="AN13" s="908">
        <f t="shared" si="2"/>
        <v>0</v>
      </c>
      <c r="AO13" s="904">
        <f>IF(ISNUMBER(((NºAsuntos!I13/NºAsuntos!G13)*11)/factor_trimestre),((NºAsuntos!I13/NºAsuntos!G13)*11)/factor_trimestre," - ")</f>
        <v>10.633561643835616</v>
      </c>
      <c r="AP13" s="910" t="str">
        <f>IF(ISNUMBER(Datos!CI13/Datos!CJ13),Datos!CI13/Datos!CJ13," - ")</f>
        <v xml:space="preserve"> - </v>
      </c>
      <c r="AQ13" s="928">
        <f t="shared" ref="AQ13:AV13" si="3">SUBTOTAL(9,AQ9:AQ12)</f>
        <v>0</v>
      </c>
      <c r="AR13" s="928">
        <f t="shared" si="3"/>
        <v>1.0893246187363835E-2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596</v>
      </c>
      <c r="G16" s="225">
        <f>IF(ISNUMBER(IF(D_I="SI",Datos!I16,Datos!I16+Datos!AC16)),IF(D_I="SI",Datos!I16,Datos!I16+Datos!AC16)," - ")</f>
        <v>596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253</v>
      </c>
      <c r="Z16" s="619">
        <f>IF(ISNUMBER(Datos!Q16),Datos!Q16," - ")</f>
        <v>5</v>
      </c>
      <c r="AA16" s="332">
        <f>IF(ISNUMBER(IF(D_I="SI",Datos!L16,Datos!L16+Datos!AF16)),IF(D_I="SI",Datos!L16,Datos!L16+Datos!AF16)," - ")</f>
        <v>589</v>
      </c>
      <c r="AB16" s="334"/>
      <c r="AC16" s="334"/>
      <c r="AD16" s="484"/>
      <c r="AE16" s="484">
        <f>IF(ISNUMBER(Datos!R16),Datos!R16," - ")</f>
        <v>59</v>
      </c>
      <c r="AF16" s="229" t="str">
        <f>IF(ISNUMBER(Datos!BV16),Datos!BV16," - ")</f>
        <v xml:space="preserve"> - </v>
      </c>
      <c r="AG16" s="225"/>
      <c r="AH16" s="298"/>
      <c r="AI16" s="227"/>
      <c r="AJ16" s="225">
        <f>IF(ISNUMBER(Datos!M16),Datos!M16," - ")</f>
        <v>41</v>
      </c>
      <c r="AK16" s="229">
        <f>IF(ISNUMBER(Datos!N16),Datos!N16," - ")</f>
        <v>141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6.9841897233201573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2.3749999999999996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596</v>
      </c>
      <c r="G18" s="898">
        <f>SUBTOTAL(9,G15:G17)</f>
        <v>611</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277</v>
      </c>
      <c r="Z18" s="932">
        <f t="shared" si="5"/>
        <v>5</v>
      </c>
      <c r="AA18" s="932">
        <f t="shared" si="5"/>
        <v>608</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46</v>
      </c>
      <c r="AK18" s="932">
        <f t="shared" si="5"/>
        <v>157</v>
      </c>
      <c r="AL18" s="932">
        <f t="shared" si="5"/>
        <v>0</v>
      </c>
      <c r="AM18" s="932">
        <f t="shared" si="5"/>
        <v>0</v>
      </c>
      <c r="AN18" s="932">
        <f t="shared" si="5"/>
        <v>0</v>
      </c>
      <c r="AO18" s="934">
        <f>IF(ISNUMBER(((NºAsuntos!I18/NºAsuntos!G18)*11)/factor_trimestre),((NºAsuntos!I18/NºAsuntos!G18)*11)/factor_trimestre," - ")</f>
        <v>6.584837545126355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599</v>
      </c>
      <c r="G19" s="820">
        <f t="shared" si="7"/>
        <v>614</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277</v>
      </c>
      <c r="Z19" s="827">
        <f t="shared" si="8"/>
        <v>46</v>
      </c>
      <c r="AA19" s="828">
        <f t="shared" si="8"/>
        <v>613</v>
      </c>
      <c r="AB19" s="828">
        <f t="shared" si="8"/>
        <v>0</v>
      </c>
      <c r="AC19" s="828">
        <f t="shared" si="8"/>
        <v>0</v>
      </c>
      <c r="AD19" s="829">
        <f t="shared" si="8"/>
        <v>0</v>
      </c>
      <c r="AE19" s="829">
        <f t="shared" si="8"/>
        <v>1451</v>
      </c>
      <c r="AF19" s="830">
        <f t="shared" si="8"/>
        <v>0</v>
      </c>
      <c r="AG19" s="831">
        <f t="shared" si="8"/>
        <v>0</v>
      </c>
      <c r="AH19" s="832">
        <f t="shared" si="8"/>
        <v>0</v>
      </c>
      <c r="AI19" s="830">
        <f t="shared" si="8"/>
        <v>0</v>
      </c>
      <c r="AJ19" s="820">
        <f t="shared" si="8"/>
        <v>127</v>
      </c>
      <c r="AK19" s="820">
        <f t="shared" si="8"/>
        <v>286</v>
      </c>
      <c r="AL19" s="820">
        <f t="shared" si="8"/>
        <v>0</v>
      </c>
      <c r="AM19" s="833">
        <f t="shared" si="8"/>
        <v>0</v>
      </c>
      <c r="AN19" s="823">
        <f>IF(ISNUMBER(Datos!K19/Datos!J19),Datos!K19/Datos!J19," - ")</f>
        <v>0.83231707317073167</v>
      </c>
      <c r="AO19" s="823">
        <f>IF(ISNUMBER(FIND("06",Criterios!A8,1)),(IF(ISNUMBER(((Datos!R19/Datos!Q19)*11)/factor_trimestre),((Datos!R19/Datos!Q19)*11)/factor_trimestre," - ")),(IF(ISNUMBER(((Datos!L19/Datos!K19)*11)/factor_trimestre),((Datos!L19/Datos!K19)*11)/factor_trimestre," - ")))</f>
        <v>8.8736263736263741</v>
      </c>
      <c r="AP19" s="834" t="str">
        <f>IF(ISNUMBER(Datos!CI19/Datos!CJ19),Datos!CI19/Datos!CJ19," - ")</f>
        <v xml:space="preserve"> - </v>
      </c>
      <c r="AQ19" s="834">
        <f>IF(OR(ISNUMBER(FIND("01",Criterios!A8,1)),ISNUMBER(FIND("02",Criterios!A8,1)),ISNUMBER(FIND("03",Criterios!A8,1)),ISNUMBER(FIND("04",Criterios!A8,1))),(J19-Y19+K19)/(F19-K19),(I19-Y19+K19)/(F19-K19))</f>
        <v>-0.46243739565943237</v>
      </c>
      <c r="AR19" s="834">
        <f>IF(ISNUMBER((Datos!P19-Datos!Q19+O19)/(Datos!R19-Datos!P19+Datos!Q19-O19)),(Datos!P19-Datos!Q19+O19)/(Datos!R19-Datos!P19+Datos!Q19-O19)," - ")</f>
        <v>1.3976240391334731E-2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342.36870962944806</v>
      </c>
      <c r="G21" s="552">
        <f>IF(ISNUMBER(STDEV(G8:G18)),STDEV(G8:G18),"-")</f>
        <v>326.79626680854238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35.189013436961638</v>
      </c>
      <c r="AK21" s="252"/>
      <c r="AL21" s="252">
        <f>IF(ISNUMBER(STDEV(AL8:AL18)),STDEV(AL8:AL18),"-")</f>
        <v>0</v>
      </c>
      <c r="AM21" s="254">
        <f>IF(ISNUMBER(STDEV(AM8:AM18)),STDEV(AM8:AM18),"-")</f>
        <v>0</v>
      </c>
      <c r="AN21" s="539">
        <f>IF(ISNUMBER(STDEV(AN8:AN18)),STDEV(AN8:AN18),"-")</f>
        <v>0</v>
      </c>
      <c r="AO21" s="540">
        <f>IF(ISNUMBER(STDEV(AO8:AO18)),STDEV(AO8:AO18),"-")</f>
        <v>3.4155955730467369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5Vde6PPS8ND2OaWNGTjQCjg+hU2qmTsHBJHA2NEb6lL1k4T/R/vcBy3Ussbafj+bnu0WzP8UfQ1kQUb9p8CcTw==" saltValue="MtjMTFD84L0xMr0bWnlD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H0ju05xVE0/0rNrEwWZ6UyMPc6hHrWqEVCNZJbpa/cER/8XA8uiYsPyx0fD4DrvD1NeN7EFiU5eTdOqDIm4sg==" saltValue="Tq4FXU+tkibuI+2NcB4K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UTWM7h+KZkwCoGAPPLSwsK0VbxiZNt1/qn2/tXrNRK61BQuvV+zkFPjeMrhGQ+7JmqAYVQcFM7XdQpsR47xeQ==" saltValue="EMfHA+j9FGiF7OcnPYvqp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ROTA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0.2773972602739726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0.19614948382229572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V5F1y2l/kvbCbbPP+38iZ+/SNY05NROh9OmJO+px8IeckteLXFZ1IAgZJ07xNk6UfQCoflFGZGci1/d2kUIQnQ==" saltValue="phNz5FpcBJVvDN5g6DBqy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knE+y2NbQbXqAc207MT/yKJat8/BBci7XPi0f0s6BJyQODp1Zp3i4mNBsZedhr2/sSJoHyyiCmebxFxstgpA==" saltValue="9XkSGQ395jlOI8GOEPEr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ROTA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921</v>
      </c>
      <c r="D12" s="404">
        <f>IF(ISNUMBER(C12/Datos!BH12),C12/Datos!BH12," - ")</f>
        <v>460.5</v>
      </c>
      <c r="E12" s="403">
        <f>IF(ISNUMBER(IF(J_V="SI",Datos!J12,Datos!J12+Datos!Z12)),IF(J_V="SI",Datos!J12,Datos!J12+Datos!Z12)," - ")</f>
        <v>401</v>
      </c>
      <c r="F12" s="404">
        <f>IF(ISNUMBER(E12/B12),E12/B12," - ")</f>
        <v>200.5</v>
      </c>
      <c r="G12" s="403">
        <f>IF(ISNUMBER(IF(J_V="SI",Datos!K12,Datos!K12+Datos!AA12)),IF(J_V="SI",Datos!K12,Datos!K12+Datos!AA12)," - ")</f>
        <v>292</v>
      </c>
      <c r="H12" s="404">
        <f>IF(ISNUMBER(G12/B12),G12/B12," - ")</f>
        <v>146</v>
      </c>
      <c r="I12" s="403">
        <f>IF(ISNUMBER(IF(J_V="SI",Datos!L12,Datos!L12+Datos!AB12)),IF(J_V="SI",Datos!L12,Datos!L12+Datos!AB12)," - ")</f>
        <v>1030</v>
      </c>
      <c r="J12" s="404">
        <f>IF(ISNUMBER(I12/B12),I12/B12," - ")</f>
        <v>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924</v>
      </c>
      <c r="D13" s="850" t="str">
        <f>IF(ISNUMBER(C13/Datos!BI13),C13/Datos!BI13," - ")</f>
        <v xml:space="preserve"> - </v>
      </c>
      <c r="E13" s="849">
        <f>SUBTOTAL(9,E8:E12)</f>
        <v>403</v>
      </c>
      <c r="F13" s="850">
        <f>IF(ISNUMBER(E13/B13),E13/B13," - ")</f>
        <v>201.5</v>
      </c>
      <c r="G13" s="849">
        <f>SUBTOTAL(9,G8:G12)</f>
        <v>292</v>
      </c>
      <c r="H13" s="850">
        <f>IF(ISNUMBER(G13/B13),G13/B13," - ")</f>
        <v>146</v>
      </c>
      <c r="I13" s="849">
        <f>SUBTOTAL(9,I8:I12)</f>
        <v>1035</v>
      </c>
      <c r="J13" s="850">
        <f>IF(ISNUMBER(I13/B13),I13/B13," - ")</f>
        <v>517.5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596</v>
      </c>
      <c r="D16" s="404">
        <f>IF(ISNUMBER(C16/Datos!BH16),C16/Datos!BH16," - ")</f>
        <v>298</v>
      </c>
      <c r="E16" s="403">
        <f>IF(ISNUMBER(IF(D_I="SI",Datos!J16,Datos!J16+Datos!AD16)),IF(D_I="SI",Datos!J16,Datos!J16+Datos!AD16)," - ")</f>
        <v>246</v>
      </c>
      <c r="F16" s="404">
        <f>IF(ISNUMBER(E16/B16),E16/B16," - ")</f>
        <v>123</v>
      </c>
      <c r="G16" s="403">
        <f>IF(ISNUMBER(IF(D_I="SI",Datos!K16,Datos!K16+Datos!AE16)),IF(D_I="SI",Datos!K16,Datos!K16+Datos!AE16)," - ")</f>
        <v>253</v>
      </c>
      <c r="H16" s="404">
        <f>IF(ISNUMBER(G16/B16),G16/B16," - ")</f>
        <v>126.5</v>
      </c>
      <c r="I16" s="403">
        <f>IF(ISNUMBER(IF(D_I="SI",Datos!L16,Datos!L16+Datos!AF16)),IF(D_I="SI",Datos!L16,Datos!L16+Datos!AF16)," - ")</f>
        <v>589</v>
      </c>
      <c r="J16" s="404">
        <f>IF(ISNUMBER(I16/B16),I16/B16," - ")</f>
        <v>294.5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28</v>
      </c>
      <c r="F17" s="404">
        <f>IF(ISNUMBER(E17/B17),E17/B17," - ")</f>
        <v>28</v>
      </c>
      <c r="G17" s="403">
        <f>IF(ISNUMBER(IF(D_I="SI",Datos!K17,Datos!K17+Datos!AE17)),IF(D_I="SI",Datos!K17,Datos!K17+Datos!AE17)," - ")</f>
        <v>24</v>
      </c>
      <c r="H17" s="404">
        <f>IF(ISNUMBER(G17/B17),G17/B17," - ")</f>
        <v>24</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611</v>
      </c>
      <c r="D18" s="850" t="str">
        <f>IF(ISNUMBER(C18/Datos!BI18),C18/Datos!BI18," - ")</f>
        <v xml:space="preserve"> - </v>
      </c>
      <c r="E18" s="849">
        <f>SUBTOTAL(9,E14:E17)</f>
        <v>274</v>
      </c>
      <c r="F18" s="850">
        <f>IF(ISNUMBER(E18/B18),E18/B18," - ")</f>
        <v>137</v>
      </c>
      <c r="G18" s="849">
        <f>SUBTOTAL(9,G14:G17)</f>
        <v>277</v>
      </c>
      <c r="H18" s="850">
        <f>IF(ISNUMBER(G18/B18),G18/B18," - ")</f>
        <v>138.5</v>
      </c>
      <c r="I18" s="849">
        <f>SUBTOTAL(9,I14:I17)</f>
        <v>608</v>
      </c>
      <c r="J18" s="850">
        <f>IF(ISNUMBER(I18/B18),I18/B18," - ")</f>
        <v>304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1535</v>
      </c>
      <c r="D19" s="795" t="str">
        <f>IF(ISNUMBER(C19/Datos!BI19),C19/Datos!BI19," - ")</f>
        <v xml:space="preserve"> - </v>
      </c>
      <c r="E19" s="794">
        <f>SUBTOTAL(9,E9:E18)</f>
        <v>677</v>
      </c>
      <c r="F19" s="795">
        <f>IF(ISNUMBER(E19/B19),E19/B19," - ")</f>
        <v>338.5</v>
      </c>
      <c r="G19" s="794">
        <f>SUBTOTAL(9,G9:G18)</f>
        <v>569</v>
      </c>
      <c r="H19" s="795">
        <f>IF(ISNUMBER(G19/B19),G19/B19," - ")</f>
        <v>284.5</v>
      </c>
      <c r="I19" s="794">
        <f>SUBTOTAL(9,I9:I18)</f>
        <v>1643</v>
      </c>
      <c r="J19" s="795">
        <f>IF(ISNUMBER(I19/B19),I19/B19," - ")</f>
        <v>821.5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C+qFYYC+Cl3kMZH6lhDrqnofRbqm55VDdqrwg9HWhPD47JGc5BsiK0dH5PeoSXO50ZOy5UZapqp9EQyieHxvWw==" saltValue="YMdH2WNQmDkaw4POAx4V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ROTA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129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10.582191780821917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1.0893246187363835E-2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41</v>
      </c>
      <c r="AE13" s="939">
        <f t="shared" si="1"/>
        <v>0</v>
      </c>
      <c r="AF13" s="939">
        <f t="shared" si="1"/>
        <v>5</v>
      </c>
      <c r="AG13" s="939">
        <f t="shared" si="1"/>
        <v>0</v>
      </c>
      <c r="AH13" s="939">
        <f t="shared" si="1"/>
        <v>1392</v>
      </c>
      <c r="AI13" s="939">
        <f t="shared" si="1"/>
        <v>0</v>
      </c>
      <c r="AJ13" s="939">
        <f t="shared" si="1"/>
        <v>0</v>
      </c>
      <c r="AK13" s="939">
        <f t="shared" si="1"/>
        <v>0</v>
      </c>
      <c r="AL13" s="939">
        <f t="shared" si="1"/>
        <v>81</v>
      </c>
      <c r="AM13" s="939">
        <f t="shared" si="1"/>
        <v>129</v>
      </c>
      <c r="AN13" s="939">
        <f t="shared" si="1"/>
        <v>0</v>
      </c>
      <c r="AO13" s="939">
        <f t="shared" si="1"/>
        <v>0</v>
      </c>
      <c r="AP13" s="944">
        <f>IF(ISNUMBER(((Datos!L13/Datos!K13)*11)/factor_trimestre),((Datos!L13/Datos!K13)*11)/factor_trimestre," - ")</f>
        <v>11.230483271375466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1.0893246187363835E-2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6.584837545126355</v>
      </c>
      <c r="AQ18" s="944">
        <f>IF(ISNUMBER(((Datos!M18/Datos!L18)*11)/factor_trimestre),((Datos!M18/Datos!L18)*11)/factor_trimestre," - ")</f>
        <v>0.22697368421052633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9.2592592592592587E-2</v>
      </c>
      <c r="AW18" s="946">
        <f>IF(ISNUMBER((Datos!Q18-Datos!R18)/(Datos!S18-Datos!Q18+Datos!R18)),(Datos!Q18-Datos!R18)/(Datos!S18-Datos!Q18+Datos!R18)," - ")</f>
        <v>-8.0838323353293412E-2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41</v>
      </c>
      <c r="AE19" s="957">
        <f t="shared" si="5"/>
        <v>0</v>
      </c>
      <c r="AF19" s="958">
        <f t="shared" si="5"/>
        <v>5</v>
      </c>
      <c r="AG19" s="958">
        <f t="shared" si="5"/>
        <v>0</v>
      </c>
      <c r="AH19" s="958">
        <f t="shared" si="5"/>
        <v>1392</v>
      </c>
      <c r="AI19" s="958">
        <f t="shared" si="5"/>
        <v>0</v>
      </c>
      <c r="AJ19" s="959">
        <f t="shared" si="5"/>
        <v>0</v>
      </c>
      <c r="AK19" s="959">
        <f t="shared" si="5"/>
        <v>0</v>
      </c>
      <c r="AL19" s="951">
        <f t="shared" si="5"/>
        <v>81</v>
      </c>
      <c r="AM19" s="951">
        <f t="shared" si="5"/>
        <v>129</v>
      </c>
      <c r="AN19" s="951">
        <f t="shared" si="5"/>
        <v>0</v>
      </c>
      <c r="AO19" s="951">
        <f t="shared" si="5"/>
        <v>0</v>
      </c>
      <c r="AP19" s="951">
        <f>IF(ISNUMBER(((Datos!L19/Datos!K19)*11)/factor_trimestre),((Datos!L19/Datos!K19)*11)/factor_trimestre," - ")</f>
        <v>8.8736263736263741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1.3976240391334731E-2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46.765371804359688</v>
      </c>
      <c r="AM21" s="736"/>
      <c r="AN21" s="736">
        <f>IF(ISNUMBER(STDEV(AN8:AN18)),STDEV(AN8:AN18),"-")</f>
        <v>0</v>
      </c>
      <c r="AO21" s="742">
        <f>IF(ISNUMBER(STDEV(AO8:AO18)),STDEV(AO8:AO18),"-")</f>
        <v>0</v>
      </c>
      <c r="AP21" s="779">
        <f>IF(ISNUMBER(STDEV(AP8:AP18)),STDEV(AP8:AP18),"-")</f>
        <v>2.5159871143076882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YDE/5vwauUyy+FQa0Lmvf+Ugh14ASkfLbxU3/+HFopzBEZd5JI0vbiHEKidrzbJoD9LMZGFhc7KjAp0nIm1Eew==" saltValue="CFXfH5fnhn2Ews+KsVKve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ROTA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4vTjmT/kUw/TpvooFZOSI7mjJPqTUbzegzcS3/TrL7eZGPS5RbrkxSCKpH8nFizgTjvVFP2oN+aMSTs0YIqzbw==" saltValue="35KNoGnG4YoIpNJN3fWL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ROTA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81</v>
      </c>
      <c r="E12" s="404">
        <f t="shared" si="0"/>
        <v>40.5</v>
      </c>
      <c r="F12" s="403">
        <f>IF(ISNUMBER(Datos!N12),Datos!N12," - ")</f>
        <v>129</v>
      </c>
      <c r="G12" s="404">
        <f t="shared" si="1"/>
        <v>64.5</v>
      </c>
      <c r="H12" s="403">
        <f>IF(ISNUMBER(Datos!O12),Datos!O12," - ")</f>
        <v>121</v>
      </c>
      <c r="I12" s="404">
        <f t="shared" si="2"/>
        <v>60.5</v>
      </c>
    </row>
    <row r="13" spans="1:9" ht="14.25" thickTop="1" thickBot="1">
      <c r="A13" s="848" t="str">
        <f>Datos!A13</f>
        <v>TOTAL</v>
      </c>
      <c r="B13" s="849">
        <f>Datos!AO13</f>
        <v>3</v>
      </c>
      <c r="C13" s="851">
        <f>Datos!AR13</f>
        <v>2</v>
      </c>
      <c r="D13" s="849">
        <f>SUBTOTAL(9,D9:D12)</f>
        <v>81</v>
      </c>
      <c r="E13" s="850">
        <f t="shared" si="0"/>
        <v>27</v>
      </c>
      <c r="F13" s="849">
        <f>SUBTOTAL(9,F9:F12)</f>
        <v>129</v>
      </c>
      <c r="G13" s="850">
        <f t="shared" si="1"/>
        <v>43</v>
      </c>
      <c r="H13" s="849">
        <f>SUBTOTAL(9,H9:H12)</f>
        <v>121</v>
      </c>
      <c r="I13" s="850">
        <f>IF(ISNUMBER(H13/B13),H13/B13," - ")</f>
        <v>40.333333333333336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41</v>
      </c>
      <c r="E16" s="404">
        <f t="shared" si="3"/>
        <v>20.5</v>
      </c>
      <c r="F16" s="403">
        <f>IF(ISNUMBER(Datos!N16),Datos!N16," - ")</f>
        <v>141</v>
      </c>
      <c r="G16" s="404">
        <f t="shared" si="4"/>
        <v>70.5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5</v>
      </c>
      <c r="E17" s="404">
        <f>IF(ISNUMBER(D17/B17),D17/B17," - ")</f>
        <v>5</v>
      </c>
      <c r="F17" s="403">
        <f>IF(ISNUMBER(Datos!N17),Datos!N17," - ")</f>
        <v>16</v>
      </c>
      <c r="G17" s="404">
        <f>IF(ISNUMBER(F17/B17),F17/B17," - ")</f>
        <v>16</v>
      </c>
      <c r="H17" s="403">
        <f>IF(ISNUMBER(Datos!O17),Datos!O17," - ")</f>
        <v>0</v>
      </c>
      <c r="I17" s="404">
        <f t="shared" si="5"/>
        <v>0</v>
      </c>
    </row>
    <row r="18" spans="1:9" ht="14.25" thickTop="1" thickBot="1">
      <c r="A18" s="848" t="str">
        <f>Datos!A18</f>
        <v>TOTAL</v>
      </c>
      <c r="B18" s="849">
        <f>Datos!AO18</f>
        <v>3</v>
      </c>
      <c r="C18" s="851">
        <f>Datos!AR18</f>
        <v>2</v>
      </c>
      <c r="D18" s="849">
        <f>SUBTOTAL(9,D15:D17)</f>
        <v>46</v>
      </c>
      <c r="E18" s="850">
        <f t="shared" si="3"/>
        <v>15.333333333333334</v>
      </c>
      <c r="F18" s="849">
        <f>SUBTOTAL(9,F15:F17)</f>
        <v>157</v>
      </c>
      <c r="G18" s="850">
        <f t="shared" si="4"/>
        <v>52.333333333333336</v>
      </c>
      <c r="H18" s="849">
        <f>SUBTOTAL(9,H15:H17)</f>
        <v>0</v>
      </c>
      <c r="I18" s="850">
        <f>IF(ISNUMBER(H18/B18),H18/B18," - ")</f>
        <v>0</v>
      </c>
    </row>
    <row r="19" spans="1:9" ht="14.25" thickTop="1" thickBot="1">
      <c r="A19" s="793" t="str">
        <f>Datos!A19</f>
        <v>TOTAL JURISDICCIONES</v>
      </c>
      <c r="B19" s="794">
        <f>Datos!AP19</f>
        <v>2</v>
      </c>
      <c r="C19" s="794">
        <f>Datos!AR19</f>
        <v>2</v>
      </c>
      <c r="D19" s="794">
        <f>SUBTOTAL(9,D8:D18)</f>
        <v>127</v>
      </c>
      <c r="E19" s="795">
        <f>IF(ISNUMBER(D19/B19),D19/B19," - ")</f>
        <v>63.5</v>
      </c>
      <c r="F19" s="794">
        <f>SUBTOTAL(9,F8:F18)</f>
        <v>286</v>
      </c>
      <c r="G19" s="795">
        <f>IF(ISNUMBER(F19/B19),F19/B19," - ")</f>
        <v>143</v>
      </c>
      <c r="H19" s="794">
        <f>SUBTOTAL(9,H8:H18)</f>
        <v>121</v>
      </c>
      <c r="I19" s="795">
        <f>IF(ISNUMBER(H19/B19),H19/B19," - ")</f>
        <v>60.5</v>
      </c>
    </row>
    <row r="22" spans="1:9">
      <c r="A22" s="391" t="str">
        <f>Criterios!A4</f>
        <v>Fecha Informe: 29 may. 2024</v>
      </c>
    </row>
    <row r="27" spans="1:9">
      <c r="A27" s="414"/>
    </row>
  </sheetData>
  <sheetProtection algorithmName="SHA-512" hashValue="uTe9O7cagUaxsiL/9FrtRFVJIerZA63N8VhiPvp40R8arAyq7HHZt2O8ddpS/+rq0MVBSVgXn84/xxAuCCctzg==" saltValue="McnbqJdJvbdHweRFXFNK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ROTA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v>
      </c>
      <c r="C12" s="434">
        <f>IF(ISNUMBER(Datos!Q12),Datos!Q12," - ")</f>
        <v>41</v>
      </c>
      <c r="D12" s="408">
        <f>IF(ISNUMBER(Datos!R12),Datos!R12," - ")</f>
        <v>1392</v>
      </c>
    </row>
    <row r="13" spans="1:4" ht="14.25" thickTop="1" thickBot="1">
      <c r="A13" s="848" t="str">
        <f>Datos!A13</f>
        <v>TOTAL</v>
      </c>
      <c r="B13" s="849">
        <f>SUBTOTAL(9,B9:B12)</f>
        <v>56</v>
      </c>
      <c r="C13" s="853">
        <f>SUBTOTAL(9,C9:C12)</f>
        <v>41</v>
      </c>
      <c r="D13" s="851">
        <f>SUBTOTAL(9,D9:D12)</f>
        <v>1392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5</v>
      </c>
      <c r="D16" s="408">
        <f>IF(ISNUMBER(Datos!R16),Datos!R16," - ")</f>
        <v>59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5</v>
      </c>
      <c r="D18" s="851">
        <f>SUBTOTAL(9,D15:D17)</f>
        <v>59</v>
      </c>
    </row>
    <row r="19" spans="1:4" ht="16.5" customHeight="1" thickTop="1" thickBot="1">
      <c r="A19" s="793" t="str">
        <f>Datos!A19</f>
        <v>TOTAL JURISDICCIONES</v>
      </c>
      <c r="B19" s="798">
        <f>SUBTOTAL(9,B8:B18)</f>
        <v>66</v>
      </c>
      <c r="C19" s="799">
        <f>SUBTOTAL(9,C8:C18)</f>
        <v>46</v>
      </c>
      <c r="D19" s="800">
        <f>SUBTOTAL(9,D8:D18)</f>
        <v>1451</v>
      </c>
    </row>
    <row r="20" spans="1:4" ht="7.5" customHeight="1"/>
    <row r="21" spans="1:4" ht="6" customHeight="1"/>
    <row r="22" spans="1:4">
      <c r="A22" s="391" t="str">
        <f>Criterios!A4</f>
        <v>Fecha Informe: 29 may. 2024</v>
      </c>
    </row>
    <row r="27" spans="1:4">
      <c r="A27" s="414"/>
    </row>
  </sheetData>
  <sheetProtection algorithmName="SHA-512" hashValue="T7D2FwYjgVsGqS57994wL+tXO4gzJu7I+U8NnubJ3iGI6ivzK8fKV4UWLjH74yQrYeJchasAMh3EUWhtWehUBw==" saltValue="fp4Y+shKbbEbuym4V3O48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ROTA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-1</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0.27916666666666667</v>
      </c>
      <c r="C12" s="456">
        <f>IF(ISNUMBER(
   IF(J_V="SI",(Datos!J12-Datos!T12)/Datos!T12,(Datos!J12+Datos!Z12-(Datos!T12+Datos!AH12))/(Datos!T12+Datos!AH12))
     ),IF(J_V="SI",(Datos!J12-Datos!T12)/Datos!T12,(Datos!J12+Datos!Z12-(Datos!T12+Datos!AH12))/(Datos!T12+Datos!AH12))," - ")</f>
        <v>0.14571428571428571</v>
      </c>
      <c r="D12" s="456">
        <f>IF(ISNUMBER(
   IF(J_V="SI",(Datos!K12-Datos!U12)/Datos!U12,(Datos!K12+Datos!AA12-(Datos!U12+Datos!AI12))/(Datos!U12+Datos!AI12))
     ),IF(J_V="SI",(Datos!K12-Datos!U12)/Datos!U12,(Datos!K12+Datos!AA12-(Datos!U12+Datos!AI12))/(Datos!U12+Datos!AI12))," - ")</f>
        <v>-9.8765432098765427E-2</v>
      </c>
      <c r="E12" s="456">
        <f>IF(ISNUMBER(
   IF(J_V="SI",(Datos!L12-Datos!V12)/Datos!V12,(Datos!L12+Datos!AB12-(Datos!V12+Datos!AJ12))/(Datos!V12+Datos!AJ12))
     ),IF(J_V="SI",(Datos!L12-Datos!V12)/Datos!V12,(Datos!L12+Datos!AB12-(Datos!V12+Datos!AJ12))/(Datos!V12+Datos!AJ12))," - ")</f>
        <v>0.38069705093833778</v>
      </c>
      <c r="F12" s="456">
        <f>IF(ISNUMBER((Datos!M12-Datos!W12)/Datos!W12),(Datos!M12-Datos!W12)/Datos!W12," - ")</f>
        <v>-7.9545454545454544E-2</v>
      </c>
      <c r="G12" s="457">
        <f>IF(ISNUMBER((Datos!N12-Datos!X12)/Datos!X12),(Datos!N12-Datos!X12)/Datos!X12," - ")</f>
        <v>4.0322580645161289E-2</v>
      </c>
      <c r="H12" s="455">
        <f>IF(ISNUMBER(((NºAsuntos!G12/NºAsuntos!E12)-Datos!BD12)/Datos!BD12),((NºAsuntos!G12/NºAsuntos!E12)-Datos!BD12)/Datos!BD12," - ")</f>
        <v>-0.21338628736799969</v>
      </c>
      <c r="I12" s="456">
        <f>IF(ISNUMBER(((NºAsuntos!I12/NºAsuntos!G12)-Datos!BE12)/Datos!BE12),((NºAsuntos!I12/NºAsuntos!G12)-Datos!BE12)/Datos!BE12," - ")</f>
        <v>0.53200631679459409</v>
      </c>
      <c r="J12" s="461">
        <f>IF(ISNUMBER((('Resol  Asuntos'!D12/NºAsuntos!G12)-Datos!BF12)/Datos!BF12),(('Resol  Asuntos'!D12/NºAsuntos!G12)-Datos!BF12)/Datos!BF12," - ")</f>
        <v>-0.27518780380026509</v>
      </c>
      <c r="K12" s="462">
        <f>IF(ISNUMBER((((NºAsuntos!C12+NºAsuntos!E12)/NºAsuntos!G12)-Datos!BG12)/Datos!BG12),(((NºAsuntos!C12+NºAsuntos!E12)/NºAsuntos!G12)-Datos!BG12)/Datos!BG12," - ")</f>
        <v>0.37091281526053005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0.27272727272727271</v>
      </c>
      <c r="C13" s="855">
        <f>IF(ISNUMBER(
   IF(J_V="SI",(Datos!J13-Datos!T13)/Datos!T13,(Datos!J13+Datos!Z13-(Datos!T13+Datos!AH13))/(Datos!T13+Datos!AH13))
     ),IF(J_V="SI",(Datos!J13-Datos!T13)/Datos!T13,(Datos!J13+Datos!Z13-(Datos!T13+Datos!AH13))/(Datos!T13+Datos!AH13))," - ")</f>
        <v>0.14814814814814814</v>
      </c>
      <c r="D13" s="855">
        <f>IF(ISNUMBER(
   IF(J_V="SI",(Datos!K13-Datos!U13)/Datos!U13,(Datos!K13+Datos!AA13-(Datos!U13+Datos!AI13))/(Datos!U13+Datos!AI13))
     ),IF(J_V="SI",(Datos!K13-Datos!U13)/Datos!U13,(Datos!K13+Datos!AA13-(Datos!U13+Datos!AI13))/(Datos!U13+Datos!AI13))," - ")</f>
        <v>-0.10429447852760736</v>
      </c>
      <c r="E13" s="855">
        <f>IF(ISNUMBER(
   IF(J_V="SI",(Datos!L13-Datos!V13)/Datos!V13,(Datos!L13+Datos!AB13-(Datos!V13+Datos!AJ13))/(Datos!V13+Datos!AJ13))
     ),IF(J_V="SI",(Datos!L13-Datos!V13)/Datos!V13,(Datos!L13+Datos!AB13-(Datos!V13+Datos!AJ13))/(Datos!V13+Datos!AJ13))," - ")</f>
        <v>0.37816245006657789</v>
      </c>
      <c r="F13" s="856">
        <f>IF(ISNUMBER((Datos!M13-Datos!W13)/Datos!W13),(Datos!M13-Datos!W13)/Datos!W13," - ")</f>
        <v>-8.98876404494382E-2</v>
      </c>
      <c r="G13" s="857">
        <f>IF(ISNUMBER((Datos!N13-Datos!X13)/Datos!X13),(Datos!N13-Datos!X13)/Datos!X13," - ")</f>
        <v>4.0322580645161289E-2</v>
      </c>
      <c r="H13" s="857">
        <f>IF(ISNUMBER(((NºAsuntos!G13/NºAsuntos!E13)-Datos!BD13)/Datos!BD13),((NºAsuntos!G13/NºAsuntos!E13)-Datos!BD13)/Datos!BD13," - ")</f>
        <v>-0.21986938452404514</v>
      </c>
      <c r="I13" s="857">
        <f>IF(ISNUMBER(((NºAsuntos!I13/NºAsuntos!G13)-Datos!BE13)/Datos!BE13),((NºAsuntos!I13/NºAsuntos!G13)-Datos!BE13)/Datos!BE13," - ")</f>
        <v>0.53863342027980976</v>
      </c>
      <c r="J13" s="857">
        <f>IF(ISNUMBER((('Resol  Asuntos'!D13/NºAsuntos!G13)-Datos!BF13)/Datos!BF13),(('Resol  Asuntos'!D13/NºAsuntos!G13)-Datos!BF13)/Datos!BF13," - ")</f>
        <v>-0.27654794520547948</v>
      </c>
      <c r="K13" s="857">
        <f>IF(ISNUMBER((((NºAsuntos!C13+NºAsuntos!E13)/NºAsuntos!G13)-Datos!BG13)/Datos!BG13),(((NºAsuntos!C13+NºAsuntos!E13)/NºAsuntos!G13)-Datos!BG13)/Datos!BG13," - ")</f>
        <v>0.37559303493977431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8.4602368866328256E-3</v>
      </c>
      <c r="C16" s="456">
        <f>IF(ISNUMBER(
   IF(D_I="SI",(Datos!J16-Datos!T16)/Datos!T16,(Datos!J16+Datos!AD16-(Datos!T16+Datos!AL16))/(Datos!T16+Datos!AL16))
     ),IF(D_I="SI",(Datos!J16-Datos!T16)/Datos!T16,(Datos!J16+Datos!AD16-(Datos!T16+Datos!AL16))/(Datos!T16+Datos!AL16))," - ")</f>
        <v>-0.18</v>
      </c>
      <c r="D16" s="456">
        <f>IF(ISNUMBER(
   IF(D_I="SI",(Datos!K16-Datos!U16)/Datos!U16,(Datos!K16+Datos!AE16-(Datos!U16+Datos!AM16))/(Datos!U16+Datos!AM16))
     ),IF(D_I="SI",(Datos!K16-Datos!U16)/Datos!U16,(Datos!K16+Datos!AE16-(Datos!U16+Datos!AM16))/(Datos!U16+Datos!AM16))," - ")</f>
        <v>-0.23795180722891565</v>
      </c>
      <c r="E16" s="456">
        <f>IF(ISNUMBER(
   IF(D_I="SI",(Datos!L16-Datos!V16)/Datos!V16,(Datos!L16+Datos!AF16-(Datos!V16+Datos!AN16))/(Datos!V16+Datos!AN16))
     ),IF(D_I="SI",(Datos!L16-Datos!V16)/Datos!V16,(Datos!L16+Datos!AF16-(Datos!V16+Datos!AN16))/(Datos!V16+Datos!AN16))," - ")</f>
        <v>5.3667262969588549E-2</v>
      </c>
      <c r="F16" s="456">
        <f>IF(ISNUMBER((Datos!M16-Datos!W16)/Datos!W16),(Datos!M16-Datos!W16)/Datos!W16," - ")</f>
        <v>0.28125</v>
      </c>
      <c r="G16" s="457">
        <f>IF(ISNUMBER((Datos!N16-Datos!X16)/Datos!X16),(Datos!N16-Datos!X16)/Datos!X16," - ")</f>
        <v>-0.21229050279329609</v>
      </c>
      <c r="H16" s="455">
        <f>IF(ISNUMBER(((NºAsuntos!G16/NºAsuntos!E16)-Datos!BD16)/Datos!BD16),((NºAsuntos!G16/NºAsuntos!E16)-Datos!BD16)/Datos!BD16," - ")</f>
        <v>-7.067293564501903E-2</v>
      </c>
      <c r="I16" s="456">
        <f>IF(ISNUMBER(((NºAsuntos!I16/NºAsuntos!G16)-Datos!BE16)/Datos!BE16),((NºAsuntos!I16/NºAsuntos!G16)-Datos!BE16)/Datos!BE16," - ")</f>
        <v>0.38267798935139669</v>
      </c>
      <c r="J16" s="461">
        <f>IF(ISNUMBER((('Resol  Asuntos'!D16/NºAsuntos!G16)-Datos!BF16)/Datos!BF16),(('Resol  Asuntos'!D16/NºAsuntos!G16)-Datos!BF16)/Datos!BF16," - ")</f>
        <v>0.68132411067193677</v>
      </c>
      <c r="K16" s="462">
        <f>IF(ISNUMBER((((NºAsuntos!C16+NºAsuntos!E16)/NºAsuntos!G16)-Datos!BG16)/Datos!BG16),(((NºAsuntos!C16+NºAsuntos!E16)/NºAsuntos!G16)-Datos!BG16)/Datos!BG16," - ")</f>
        <v>0.24008641531698177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-0.34782608695652173</v>
      </c>
      <c r="C17" s="456">
        <f>IF(ISNUMBER(
   IF(D_I="SI",(Datos!J17-Datos!T17)/Datos!T17,(Datos!J17+Datos!AD17-(Datos!T17+Datos!AL17))/(Datos!T17+Datos!AL17))
     ),IF(D_I="SI",(Datos!J17-Datos!T17)/Datos!T17,(Datos!J17+Datos!AD17-(Datos!T17+Datos!AL17))/(Datos!T17+Datos!AL17))," - ")</f>
        <v>-0.36363636363636365</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-0.24</v>
      </c>
      <c r="F17" s="456">
        <f>IF(ISNUMBER((Datos!M17-Datos!W17)/Datos!W17),(Datos!M17-Datos!W17)/Datos!W17," - ")</f>
        <v>0.25</v>
      </c>
      <c r="G17" s="457">
        <f>IF(ISNUMBER((Datos!N17-Datos!X17)/Datos!X17),(Datos!N17-Datos!X17)/Datos!X17," - ")</f>
        <v>-0.5</v>
      </c>
      <c r="H17" s="455">
        <f>IF(ISNUMBER(((NºAsuntos!G17/NºAsuntos!E17)-Datos!BD17)/Datos!BD17),((NºAsuntos!G17/NºAsuntos!E17)-Datos!BD17)/Datos!BD17," - ")</f>
        <v>-0.1020408163265307</v>
      </c>
      <c r="I17" s="456">
        <f>IF(ISNUMBER(((NºAsuntos!I17/NºAsuntos!G17)-Datos!BE17)/Datos!BE17),((NºAsuntos!I17/NºAsuntos!G17)-Datos!BE17)/Datos!BE17," - ")</f>
        <v>0.32999999999999996</v>
      </c>
      <c r="J17" s="461">
        <f>IF(ISNUMBER((('Resol  Asuntos'!D17/NºAsuntos!G17)-Datos!BF17)/Datos!BF17),(('Resol  Asuntos'!D17/NºAsuntos!G17)-Datos!BF17)/Datos!BF17," - ")</f>
        <v>1.1875000000000002</v>
      </c>
      <c r="K17" s="462">
        <f>IF(ISNUMBER((((NºAsuntos!C17+NºAsuntos!E17)/NºAsuntos!G17)-Datos!BG17)/Datos!BG17),(((NºAsuntos!C17+NºAsuntos!E17)/NºAsuntos!G17)-Datos!BG17)/Datos!BG17," - ")</f>
        <v>0.12313432835820892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-4.8859934853420191E-3</v>
      </c>
      <c r="C18" s="855">
        <f>IF(ISNUMBER(
   IF(Criterios!B14="SI",(Datos!J18-Datos!T18)/Datos!T18,(Datos!J18+Datos!AD18-(Datos!T18+Datos!AL18))/(Datos!T18+Datos!AL18))
     ),IF(Criterios!B14="SI",(Datos!J18-Datos!T18)/Datos!T18,(Datos!J18+Datos!AD18-(Datos!T18+Datos!AL18))/(Datos!T18+Datos!AL18))," - ")</f>
        <v>-0.20348837209302326</v>
      </c>
      <c r="D18" s="855">
        <f>IF(ISNUMBER(
   IF(Criterios!B14="SI",(Datos!K18-Datos!U18)/Datos!U18,(Datos!K18+Datos!AE18-(Datos!U18+Datos!AM18))/(Datos!U18+Datos!AM18))
     ),IF(Criterios!B14="SI",(Datos!K18-Datos!U18)/Datos!U18,(Datos!K18+Datos!AE18-(Datos!U18+Datos!AM18))/(Datos!U18+Datos!AM18))," - ")</f>
        <v>-0.25935828877005346</v>
      </c>
      <c r="E18" s="855">
        <f>IF(ISNUMBER(
   IF(Criterios!B14="SI",(Datos!L18-Datos!V18)/Datos!V18,(Datos!L18+Datos!AF18-(Datos!V18+Datos!AN18))/(Datos!V18+Datos!AN18))
     ),IF(Criterios!B14="SI",(Datos!L18-Datos!V18)/Datos!V18,(Datos!L18+Datos!AF18-(Datos!V18+Datos!AN18))/(Datos!V18+Datos!AN18))," - ")</f>
        <v>4.1095890410958902E-2</v>
      </c>
      <c r="F18" s="856">
        <f>IF(ISNUMBER((Datos!M18-Datos!W18)/Datos!W18),(Datos!M18-Datos!W18)/Datos!W18," - ")</f>
        <v>0.27777777777777779</v>
      </c>
      <c r="G18" s="857">
        <f>IF(ISNUMBER((Datos!N18-Datos!X18)/Datos!X18),(Datos!N18-Datos!X18)/Datos!X18," - ")</f>
        <v>-0.25592417061611372</v>
      </c>
      <c r="H18" s="857">
        <f>IF(ISNUMBER(((NºAsuntos!G18/NºAsuntos!E18)-Datos!BD18)/Datos!BD18),((NºAsuntos!G18/NºAsuntos!E18)-Datos!BD18)/Datos!BD18," - ")</f>
        <v>-7.0143253054373605E-2</v>
      </c>
      <c r="I18" s="857">
        <f>IF(ISNUMBER(((NºAsuntos!I18/NºAsuntos!G18)-Datos!BE18)/Datos!BE18),((NºAsuntos!I18/NºAsuntos!G18)-Datos!BE18)/Datos!BE18," - ")</f>
        <v>0.40566737550071713</v>
      </c>
      <c r="J18" s="857">
        <f>IF(ISNUMBER((('Resol  Asuntos'!D18/NºAsuntos!G18)-Datos!BF18)/Datos!BF18),(('Resol  Asuntos'!D18/NºAsuntos!G18)-Datos!BF18)/Datos!BF18," - ")</f>
        <v>0.72523064580826324</v>
      </c>
      <c r="K18" s="857">
        <f>IF(ISNUMBER((((NºAsuntos!C18+NºAsuntos!E18)/NºAsuntos!G18)-Datos!BG18)/Datos!BG18),(((NºAsuntos!C18+NºAsuntos!E18)/NºAsuntos!G18)-Datos!BG18)/Datos!BG18," - ")</f>
        <v>0.24729618715283799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0.1455223880597015</v>
      </c>
      <c r="C19" s="802">
        <f>IF(ISNUMBER(
   IF(J_V="SI",(Datos!J19-Datos!T19)/Datos!T19,(Datos!J19+Datos!Z19-(Datos!T19+Datos!AH19))/(Datos!T19+Datos!AH19))
     ),IF(J_V="SI",(Datos!J19-Datos!T19)/Datos!T19,(Datos!J19+Datos!Z19-(Datos!T19+Datos!AH19))/(Datos!T19+Datos!AH19))," - ")</f>
        <v>-2.5899280575539568E-2</v>
      </c>
      <c r="D19" s="802">
        <f>IF(ISNUMBER(
   IF(J_V="SI",(Datos!K19-Datos!U19)/Datos!U19,(Datos!K19+Datos!AA19-(Datos!U19+Datos!AI19))/(Datos!U19+Datos!AI19))
     ),IF(J_V="SI",(Datos!K19-Datos!U19)/Datos!U19,(Datos!K19+Datos!AA19-(Datos!U19+Datos!AI19))/(Datos!U19+Datos!AI19))," - ")</f>
        <v>-0.18714285714285714</v>
      </c>
      <c r="E19" s="802">
        <f>IF(ISNUMBER(
   IF(J_V="SI",(Datos!L19-Datos!V19)/Datos!V19,(Datos!L19+Datos!AB19-(Datos!V19+Datos!AJ19))/(Datos!V19+Datos!AJ19))
     ),IF(J_V="SI",(Datos!L19-Datos!V19)/Datos!V19,(Datos!L19+Datos!AB19-(Datos!V19+Datos!AJ19))/(Datos!V19+Datos!AJ19))," - ")</f>
        <v>0.23071161048689137</v>
      </c>
      <c r="F19" s="803">
        <f>IF(ISNUMBER((Datos!M19-Datos!W19)/Datos!W19),(Datos!M19-Datos!W19)/Datos!W19," - ")</f>
        <v>1.6E-2</v>
      </c>
      <c r="G19" s="804">
        <f>IF(ISNUMBER((Datos!N19-Datos!X19)/Datos!X19),(Datos!N19-Datos!X19)/Datos!X19," - ")</f>
        <v>-0.14626865671641792</v>
      </c>
      <c r="H19" s="805">
        <f>IF(ISNUMBER((Tasas!B19-Datos!BD19)/Datos!BD19),(Tasas!B19-Datos!BD19)/Datos!BD19," - ")</f>
        <v>-0.16553070267989017</v>
      </c>
      <c r="I19" s="806">
        <f>IF(ISNUMBER((Tasas!C19-Datos!BE19)/Datos!BE19),(Tasas!C19-Datos!BE19)/Datos!BE19," - ")</f>
        <v>0.51405646281339878</v>
      </c>
      <c r="J19" s="807">
        <f>IF(ISNUMBER((Tasas!D19-Datos!BF19)/Datos!BF19),(Tasas!D19-Datos!BF19)/Datos!BF19," - ")</f>
        <v>-2.9571330327806265E-2</v>
      </c>
      <c r="K19" s="807">
        <f>IF(ISNUMBER((Tasas!E19-Datos!BG19)/Datos!BG19),(Tasas!E19-Datos!BG19)/Datos!BG19," - ")</f>
        <v>0.33723114390952708</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ezDqsy+rsESm66aqERNHVB1ILG4jFBSRsh2tjDjH31nBqUiRR8hipg1u8BxLP8O33kZsqKhFuMS5AmYbF3S2Q==" saltValue="zQYfZvCQ84xtaM//SZnf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ROTA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0.72817955112219457</v>
      </c>
      <c r="C12" s="443">
        <f>IF(ISNUMBER(NºAsuntos!I12/NºAsuntos!G12),NºAsuntos!I12/NºAsuntos!G12," - ")</f>
        <v>3.5273972602739727</v>
      </c>
      <c r="D12" s="444">
        <f>IF(ISNUMBER('Resol  Asuntos'!D12/NºAsuntos!G12),'Resol  Asuntos'!D12/NºAsuntos!G12," - ")</f>
        <v>0.2773972602739726</v>
      </c>
      <c r="E12" s="445">
        <f>IF(ISNUMBER((NºAsuntos!C12+NºAsuntos!E12)/NºAsuntos!G12),(NºAsuntos!C12+NºAsuntos!E12)/NºAsuntos!G12," - ")</f>
        <v>4.5273972602739727</v>
      </c>
      <c r="G12" s="463"/>
    </row>
    <row r="13" spans="1:7" ht="14.25" thickTop="1" thickBot="1">
      <c r="A13" s="848" t="str">
        <f>Datos!A13</f>
        <v>TOTAL</v>
      </c>
      <c r="B13" s="858">
        <f>IF(ISNUMBER(NºAsuntos!G13/NºAsuntos!E13),NºAsuntos!G13/NºAsuntos!E13," - ")</f>
        <v>0.72456575682382129</v>
      </c>
      <c r="C13" s="859">
        <f>IF(ISNUMBER(NºAsuntos!I13/NºAsuntos!G13),NºAsuntos!I13/NºAsuntos!G13," - ")</f>
        <v>3.5445205479452055</v>
      </c>
      <c r="D13" s="860">
        <f>IF(ISNUMBER('Resol  Asuntos'!D13/NºAsuntos!G13),'Resol  Asuntos'!D13/NºAsuntos!G13," - ")</f>
        <v>0.2773972602739726</v>
      </c>
      <c r="E13" s="861">
        <f>IF(ISNUMBER((NºAsuntos!C13+NºAsuntos!E13)/NºAsuntos!G13),(NºAsuntos!C13+NºAsuntos!E13)/NºAsuntos!G13," - ")</f>
        <v>4.5445205479452051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1.0284552845528456</v>
      </c>
      <c r="C16" s="443">
        <f>IF(ISNUMBER(NºAsuntos!I16/NºAsuntos!G16),NºAsuntos!I16/NºAsuntos!G16," - ")</f>
        <v>2.3280632411067192</v>
      </c>
      <c r="D16" s="444">
        <f>IF(ISNUMBER('Resol  Asuntos'!D16/NºAsuntos!G16),'Resol  Asuntos'!D16/NºAsuntos!G16," - ")</f>
        <v>0.16205533596837945</v>
      </c>
      <c r="E16" s="445">
        <f>IF(ISNUMBER((NºAsuntos!C16+NºAsuntos!E16)/NºAsuntos!G16),(NºAsuntos!C16+NºAsuntos!E16)/NºAsuntos!G16," - ")</f>
        <v>3.3280632411067192</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0.79166666666666663</v>
      </c>
      <c r="D17" s="444">
        <f>IF(ISNUMBER('Resol  Asuntos'!D17/NºAsuntos!G17),'Resol  Asuntos'!D17/NºAsuntos!G17," - ")</f>
        <v>0.20833333333333334</v>
      </c>
      <c r="E17" s="445">
        <f>IF(ISNUMBER((NºAsuntos!C17+NºAsuntos!E17)/NºAsuntos!G17),(NºAsuntos!C17+NºAsuntos!E17)/NºAsuntos!G17," - ")</f>
        <v>1.7916666666666667</v>
      </c>
      <c r="G17" s="463"/>
    </row>
    <row r="18" spans="1:7" ht="14.25" thickTop="1" thickBot="1">
      <c r="A18" s="848" t="str">
        <f>Datos!A18</f>
        <v>TOTAL</v>
      </c>
      <c r="B18" s="858">
        <f>IF(ISNUMBER(NºAsuntos!G18/NºAsuntos!E18),NºAsuntos!G18/NºAsuntos!E18," - ")</f>
        <v>1.0109489051094891</v>
      </c>
      <c r="C18" s="859">
        <f>IF(ISNUMBER(NºAsuntos!I18/NºAsuntos!G18),NºAsuntos!I18/NºAsuntos!G18," - ")</f>
        <v>2.1949458483754514</v>
      </c>
      <c r="D18" s="862">
        <f>IF(ISNUMBER('Resol  Asuntos'!D18/NºAsuntos!G18),'Resol  Asuntos'!D18/NºAsuntos!G18," - ")</f>
        <v>0.16606498194945848</v>
      </c>
      <c r="E18" s="861">
        <f>IF(ISNUMBER((NºAsuntos!C18+NºAsuntos!E18)/NºAsuntos!G18),(NºAsuntos!C18+NºAsuntos!E18)/NºAsuntos!G18," - ")</f>
        <v>3.1949458483754514</v>
      </c>
      <c r="G18" s="463"/>
    </row>
    <row r="19" spans="1:7" ht="15.75" customHeight="1" thickTop="1" thickBot="1">
      <c r="A19" s="793" t="str">
        <f>Datos!A19</f>
        <v>TOTAL JURISDICCIONES</v>
      </c>
      <c r="B19" s="808">
        <f>IF(ISNUMBER(NºAsuntos!G19/NºAsuntos!E19),NºAsuntos!G19/NºAsuntos!E19," - ")</f>
        <v>0.8404726735598228</v>
      </c>
      <c r="C19" s="809">
        <f>IF(ISNUMBER(NºAsuntos!I19/NºAsuntos!G19),NºAsuntos!I19/NºAsuntos!G19," - ")</f>
        <v>2.8875219683655535</v>
      </c>
      <c r="D19" s="810">
        <f>IF(ISNUMBER('Resol  Asuntos'!D19/NºAsuntos!G19),'Resol  Asuntos'!D19/NºAsuntos!G19," - ")</f>
        <v>0.22319859402460457</v>
      </c>
      <c r="E19" s="811">
        <f>IF(ISNUMBER((NºAsuntos!C19+NºAsuntos!E19)/NºAsuntos!G19),(NºAsuntos!C19+NºAsuntos!E19)/NºAsuntos!G19," - ")</f>
        <v>3.8875219683655535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WLd6H3JKWxRnzl7ynM9TOVdKVVSs6fcu/1NH5PaMdfbPplLQLIt0J3a4JJZ4XfBG0LEiIC9oIYKloieM6vy0w==" saltValue="ns0Q5JwA0EuFMq+KTSGa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ROTA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0.72817955112219457</v>
      </c>
      <c r="AM12" s="260">
        <f>IF(ISNUMBER(((NºAsuntos!I12/NºAsuntos!G12)*11)/factor_trimestre),((NºAsuntos!I12/NºAsuntos!G12)*11)/factor_trimestre," - ")</f>
        <v>10.582191780821917</v>
      </c>
      <c r="AN12" s="244">
        <f>IF(ISNUMBER('Resol  Asuntos'!D12/NºAsuntos!G12),'Resol  Asuntos'!D12/NºAsuntos!G12," - ")</f>
        <v>0.2773972602739726</v>
      </c>
      <c r="AO12" s="245">
        <f>IF(ISNUMBER((NºAsuntos!C12+NºAsuntos!E12)/NºAsuntos!G12),(NºAsuntos!C12+NºAsuntos!E12)/NºAsuntos!G12," - ")</f>
        <v>4.5273972602739727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41</v>
      </c>
      <c r="Y13" s="868">
        <f t="shared" si="4"/>
        <v>41</v>
      </c>
      <c r="Z13" s="868">
        <f t="shared" si="4"/>
        <v>0</v>
      </c>
      <c r="AA13" s="868">
        <f t="shared" si="4"/>
        <v>5</v>
      </c>
      <c r="AB13" s="868">
        <f t="shared" si="4"/>
        <v>1392</v>
      </c>
      <c r="AC13" s="868">
        <f t="shared" si="4"/>
        <v>5</v>
      </c>
      <c r="AD13" s="868">
        <f t="shared" si="4"/>
        <v>0</v>
      </c>
      <c r="AE13" s="872">
        <f t="shared" si="4"/>
        <v>0</v>
      </c>
      <c r="AF13" s="865">
        <f t="shared" si="4"/>
        <v>0</v>
      </c>
      <c r="AG13" s="873">
        <f t="shared" si="4"/>
        <v>0</v>
      </c>
      <c r="AH13" s="870">
        <f t="shared" si="4"/>
        <v>0</v>
      </c>
      <c r="AI13" s="865">
        <f t="shared" si="4"/>
        <v>81</v>
      </c>
      <c r="AJ13" s="867">
        <f t="shared" si="4"/>
        <v>0</v>
      </c>
      <c r="AK13" s="870">
        <f>SUBTOTAL(9,AK9:AK12)</f>
        <v>0</v>
      </c>
      <c r="AL13" s="874">
        <f>IF(ISNUMBER(NºAsuntos!G13/NºAsuntos!E13),NºAsuntos!G13/NºAsuntos!E13," - ")</f>
        <v>0.72456575682382129</v>
      </c>
      <c r="AM13" s="874">
        <f>IF(ISNUMBER(((NºAsuntos!I13/NºAsuntos!G13)*11)/factor_trimestre),((NºAsuntos!I13/NºAsuntos!G13)*11)/factor_trimestre," - ")</f>
        <v>10.633561643835616</v>
      </c>
      <c r="AN13" s="875">
        <f>IF(ISNUMBER('Resol  Asuntos'!D13/NºAsuntos!G13),'Resol  Asuntos'!D13/NºAsuntos!G13," - ")</f>
        <v>0.2773972602739726</v>
      </c>
      <c r="AO13" s="876">
        <f>IF(ISNUMBER((NºAsuntos!C13+NºAsuntos!E13)/NºAsuntos!G13),(NºAsuntos!C13+NºAsuntos!E13)/NºAsuntos!G13," - ")</f>
        <v>4.5445205479452051</v>
      </c>
      <c r="AP13" s="877" t="str">
        <f t="shared" si="2"/>
        <v xml:space="preserve"> - </v>
      </c>
      <c r="AQ13" s="877">
        <f>IF(ISNUMBER((H13-W13+K13)/(F13)),(H13-W13+K13)/(F13)," - ")</f>
        <v>0</v>
      </c>
      <c r="AR13" s="878">
        <f>IF(ISNUMBER((Datos!P13-Datos!Q13)/(Datos!R13-Datos!P13+Datos!Q13)),(Datos!P13-Datos!Q13)/(Datos!R13-Datos!P13+Datos!Q13)," - ")</f>
        <v>1.0893246187363835E-2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596</v>
      </c>
      <c r="G16" s="333">
        <f>IF(ISNUMBER(IF(D_I="SI",Datos!I16,Datos!I16+Datos!AC16)),IF(D_I="SI",Datos!I16,Datos!I16+Datos!AC16)," - ")</f>
        <v>596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253</v>
      </c>
      <c r="X16" s="226">
        <f>IF(ISNUMBER(Datos!Q16),Datos!Q16," - ")</f>
        <v>5</v>
      </c>
      <c r="Y16" s="334">
        <f t="shared" ref="Y16:Y17" si="7">SUM(W16:X16)</f>
        <v>258</v>
      </c>
      <c r="Z16" s="335" t="str">
        <f>IF(ISNUMBER(Datos!CC16),Datos!CC16," - ")</f>
        <v xml:space="preserve"> - </v>
      </c>
      <c r="AA16" s="332">
        <f>IF(ISNUMBER(IF(D_I="SI",Datos!L16,Datos!L16+Datos!AF16)),IF(D_I="SI",Datos!L16,Datos!L16+Datos!AF16)," - ")</f>
        <v>589</v>
      </c>
      <c r="AB16" s="334">
        <f>IF(ISNUMBER(Datos!R16),Datos!R16," - ")</f>
        <v>59</v>
      </c>
      <c r="AC16" s="334">
        <f t="shared" si="6"/>
        <v>648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1.0284552845528456</v>
      </c>
      <c r="AM16" s="260">
        <f>IF(ISNUMBER(((NºAsuntos!I16/NºAsuntos!G16)*11)/factor_trimestre),((NºAsuntos!I16/NºAsuntos!G16)*11)/factor_trimestre," - ")</f>
        <v>6.9841897233201573</v>
      </c>
      <c r="AN16" s="244">
        <f>IF(ISNUMBER('Resol  Asuntos'!D16/NºAsuntos!G16),'Resol  Asuntos'!D16/NºAsuntos!G16," - ")</f>
        <v>0.16205533596837945</v>
      </c>
      <c r="AO16" s="245">
        <f>IF(ISNUMBER((NºAsuntos!C16+NºAsuntos!E16)/NºAsuntos!G16),(NºAsuntos!C16+NºAsuntos!E16)/NºAsuntos!G16," - ")</f>
        <v>3.3280632411067192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2.3749999999999996</v>
      </c>
      <c r="AN17" s="244">
        <f>IF(ISNUMBER('Resol  Asuntos'!D17/NºAsuntos!G17),'Resol  Asuntos'!D17/NºAsuntos!G17," - ")</f>
        <v>0.20833333333333334</v>
      </c>
      <c r="AO17" s="245">
        <f>IF(ISNUMBER((NºAsuntos!C17+NºAsuntos!E17)/NºAsuntos!G17),(NºAsuntos!C17+NºAsuntos!E17)/NºAsuntos!G17," - ")</f>
        <v>1.7916666666666667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596</v>
      </c>
      <c r="G18" s="866">
        <f>SUBTOTAL(9,G15:G17)</f>
        <v>611</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277</v>
      </c>
      <c r="X18" s="867">
        <f t="shared" si="11"/>
        <v>5</v>
      </c>
      <c r="Y18" s="868">
        <f t="shared" si="11"/>
        <v>282</v>
      </c>
      <c r="Z18" s="868">
        <f t="shared" si="11"/>
        <v>0</v>
      </c>
      <c r="AA18" s="868">
        <f t="shared" si="11"/>
        <v>608</v>
      </c>
      <c r="AB18" s="868">
        <f t="shared" si="11"/>
        <v>59</v>
      </c>
      <c r="AC18" s="868">
        <f t="shared" si="11"/>
        <v>667</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1.0109489051094891</v>
      </c>
      <c r="AM18" s="874">
        <f>IF(ISNUMBER(((NºAsuntos!I18/NºAsuntos!G18)*11)/factor_trimestre),((NºAsuntos!I18/NºAsuntos!G18)*11)/factor_trimestre," - ")</f>
        <v>6.584837545126355</v>
      </c>
      <c r="AN18" s="875">
        <f>IF(ISNUMBER('Resol  Asuntos'!D18/NºAsuntos!G18),'Resol  Asuntos'!D18/NºAsuntos!G18," - ")</f>
        <v>0.16606498194945848</v>
      </c>
      <c r="AO18" s="876">
        <f>IF(ISNUMBER((NºAsuntos!C18+NºAsuntos!E18)/NºAsuntos!G18),(NºAsuntos!C18+NºAsuntos!E18)/NºAsuntos!G18," - ")</f>
        <v>3.1949458483754514</v>
      </c>
      <c r="AP18" s="877" t="str">
        <f t="shared" si="2"/>
        <v xml:space="preserve"> - </v>
      </c>
      <c r="AQ18" s="877">
        <f>IF(ISNUMBER((H18-W18+K18)/(F18)),(H18-W18+K18)/(F18)," - ")</f>
        <v>-0.46476510067114096</v>
      </c>
      <c r="AR18" s="878">
        <f>IF(ISNUMBER((Datos!P18-Datos!Q18)/(Datos!R18-Datos!P18+Datos!Q18)),(Datos!P18-Datos!Q18)/(Datos!R18-Datos!P18+Datos!Q18)," - ")</f>
        <v>9.2592592592592587E-2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599</v>
      </c>
      <c r="G19" s="821">
        <f t="shared" si="13"/>
        <v>614</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277</v>
      </c>
      <c r="X19" s="821">
        <f t="shared" si="14"/>
        <v>46</v>
      </c>
      <c r="Y19" s="828">
        <f t="shared" si="14"/>
        <v>323</v>
      </c>
      <c r="Z19" s="828">
        <f t="shared" si="14"/>
        <v>0</v>
      </c>
      <c r="AA19" s="828">
        <f t="shared" si="14"/>
        <v>613</v>
      </c>
      <c r="AB19" s="828">
        <f t="shared" si="14"/>
        <v>1451</v>
      </c>
      <c r="AC19" s="828">
        <f t="shared" si="14"/>
        <v>672</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0.8404726735598228</v>
      </c>
      <c r="AM19" s="885">
        <f>IF(ISNUMBER(((NºAsuntos!I19/NºAsuntos!G19)*11)/factor_trimestre),((NºAsuntos!I19/NºAsuntos!G19)*11)/factor_trimestre," - ")</f>
        <v>8.6625659050966615</v>
      </c>
      <c r="AN19" s="885">
        <f>IF(ISNUMBER('Resol  Asuntos'!D19/NºAsuntos!G19),'Resol  Asuntos'!D19/NºAsuntos!G19," - ")</f>
        <v>0.22319859402460457</v>
      </c>
      <c r="AO19" s="886">
        <f>IF(ISNUMBER((NºAsuntos!C19+NºAsuntos!E19)/NºAsuntos!G19),(NºAsuntos!C19+NºAsuntos!E19)/NºAsuntos!G19," - ")</f>
        <v>3.8875219683655535</v>
      </c>
      <c r="AP19" s="887" t="str">
        <f t="shared" si="2"/>
        <v xml:space="preserve"> - </v>
      </c>
      <c r="AQ19" s="888">
        <f>IF(OR(ISNUMBER(FIND("01",Criterios!A8,1)),ISNUMBER(FIND("02",Criterios!A8,1)),ISNUMBER(FIND("03",Criterios!A8,1)),ISNUMBER(FIND("04",Criterios!A8,1))),(I19-W19+K19)/(F19-K19),(H19-W19+K19)/(F19-K19))</f>
        <v>-0.46243739565943237</v>
      </c>
      <c r="AR19" s="889">
        <f>IF(ISNUMBER((Datos!P19-Datos!Q19)/(Datos!R19-Datos!P19+Datos!Q19)),(Datos!P19-Datos!Q19)/(Datos!R19-Datos!P19+Datos!Q19)," - ")</f>
        <v>1.3976240391334731E-2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342.36870962944806</v>
      </c>
      <c r="G21" s="253">
        <f>IF(ISNUMBER(STDEV(G8:G18)),STDEV(G8:G18),"-")</f>
        <v>326.79626680854238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141.36017826813887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35.189013436961638</v>
      </c>
      <c r="AJ21" s="252">
        <f t="shared" si="18"/>
        <v>0</v>
      </c>
      <c r="AK21" s="254">
        <f t="shared" si="18"/>
        <v>0</v>
      </c>
      <c r="AL21" s="249">
        <f t="shared" si="18"/>
        <v>0.37866841310107069</v>
      </c>
      <c r="AM21" s="250">
        <f t="shared" si="18"/>
        <v>3.4155955730467369</v>
      </c>
      <c r="AN21" s="250">
        <f t="shared" si="18"/>
        <v>5.6956679694978425E-2</v>
      </c>
      <c r="AO21" s="251">
        <f t="shared" si="18"/>
        <v>1.1385318576822467</v>
      </c>
      <c r="AP21" s="291" t="str">
        <f t="shared" si="18"/>
        <v>-</v>
      </c>
      <c r="AQ21" s="292">
        <f t="shared" si="18"/>
        <v>0.32863855434341221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HcMd0o+DFJgsKCB46X0DG+AyEE3YNVe2FLEIV5BHGQ0C0xqVNb0qSgO3fBgcqZmOOIa6eeNuOVzI7JZeyNHa3g==" saltValue="qqaGHsSJwxdNqof6+utKg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ROTA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-1</v>
      </c>
      <c r="G10" s="349">
        <f>IF(ISNUMBER((Datos!L10-Datos!V10)/Datos!V10),(Datos!L10-Datos!V10)/Datos!V10," - ")</f>
        <v>0</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-7.9545454545454544E-2</v>
      </c>
      <c r="I12" s="350">
        <f>IF(ISNUMBER((Tasas!C12-Datos!BE12)/Datos!BE12),(Tasas!C12-Datos!BE12)/Datos!BE12," - ")</f>
        <v>0.53200631679459409</v>
      </c>
      <c r="J12" s="349">
        <f>IF(ISNUMBER((Tasas!D12-Datos!BF12)/Datos!BF12),(Tasas!D12-Datos!BF12)/Datos!BF12," - ")</f>
        <v>-0.27518780380026509</v>
      </c>
      <c r="K12" s="351">
        <f>IF(ISNUMBER((Tasas!E12-Datos!BG12)/Datos!BG12),(Tasas!E12-Datos!BG12)/Datos!BG12," - ")</f>
        <v>0.37091281526053005</v>
      </c>
      <c r="M12" t="e">
        <f>IF(Monitorios="SI",Datos!CE12,0)</f>
        <v>#REF!</v>
      </c>
      <c r="N12" t="e">
        <f>IF(Monitorios="SI",Datos!CF12,0)</f>
        <v>#REF!</v>
      </c>
      <c r="O12" t="e">
        <f>IF(Monitorios="SI",Datos!CG12,0)</f>
        <v>#REF!</v>
      </c>
      <c r="P12" t="e">
        <f>IF(Monitorios="SI",Datos!CH12,0)</f>
        <v>#REF!</v>
      </c>
      <c r="Q12">
        <f>IF(J_V="SI",0,Datos!AG12)</f>
        <v>22</v>
      </c>
      <c r="R12">
        <f>IF(J_V="SI",0,Datos!AH12)</f>
        <v>23</v>
      </c>
      <c r="S12">
        <f>IF(J_V="SI",0,Datos!AI12)</f>
        <v>33</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-8.98876404494382E-2</v>
      </c>
      <c r="I13" s="357">
        <f>IF(ISNUMBER((Tasas!C13-Datos!BE13)/Datos!BE13),(Tasas!C13-Datos!BE13)/Datos!BE13," - ")</f>
        <v>0.53863342027980976</v>
      </c>
      <c r="J13" s="355">
        <f>IF(ISNUMBER((Tasas!D13-Datos!BF13)/Datos!BF13),(Tasas!D13-Datos!BF13)/Datos!BF13," - ")</f>
        <v>-0.27654794520547948</v>
      </c>
      <c r="K13" s="358">
        <f>IF(ISNUMBER((Tasas!E13-Datos!BG13)/Datos!BG13),(Tasas!E13-Datos!BG13)/Datos!BG13," - ")</f>
        <v>0.37559303493977431</v>
      </c>
      <c r="M13" t="e">
        <f>IF(Monitorios="SI",Datos!CE13,0)</f>
        <v>#REF!</v>
      </c>
      <c r="N13" t="e">
        <f>IF(Monitorios="SI",Datos!CF13,0)</f>
        <v>#REF!</v>
      </c>
      <c r="O13" t="e">
        <f>IF(Monitorios="SI",Datos!CG13,0)</f>
        <v>#REF!</v>
      </c>
      <c r="P13" t="e">
        <f>IF(Monitorios="SI",Datos!CH13,0)</f>
        <v>#REF!</v>
      </c>
      <c r="Q13">
        <f>IF(J_V="SI",0,Datos!AG13)</f>
        <v>22</v>
      </c>
      <c r="R13">
        <f>IF(J_V="SI",0,Datos!AH13)</f>
        <v>23</v>
      </c>
      <c r="S13">
        <f>IF(J_V="SI",0,Datos!AI13)</f>
        <v>33</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8.4602368866328256E-3</v>
      </c>
      <c r="E16" s="348">
        <f>IF(ISNUMBER(
   IF(D_I="SI",(Datos!J16-Datos!T16)/Datos!T16,(Datos!J16+Datos!AD16-(Datos!T16+Datos!AL16))/(Datos!T16+Datos!AL16))
     ),IF(D_I="SI",(Datos!J16-Datos!T16)/Datos!T16,(Datos!J16+Datos!AD16-(Datos!T16+Datos!AL16))/(Datos!T16+Datos!AL16))," - ")</f>
        <v>-0.18</v>
      </c>
      <c r="F16" s="348">
        <f>IF(ISNUMBER(
   IF(D_I="SI",(Datos!K16-Datos!U16)/Datos!U16,(Datos!K16+Datos!AE16-(Datos!U16+Datos!AM16))/(Datos!U16+Datos!AM16))
     ),IF(D_I="SI",(Datos!K16-Datos!U16)/Datos!U16,(Datos!K16+Datos!AE16-(Datos!U16+Datos!AM16))/(Datos!U16+Datos!AM16))," - ")</f>
        <v>-0.23795180722891565</v>
      </c>
      <c r="G16" s="349">
        <f>IF(ISNUMBER(
   IF(D_I="SI",(Datos!L16-Datos!V16)/Datos!V16,(Datos!L16+Datos!AF16-(Datos!V16+Datos!AN16))/(Datos!V16+Datos!AN16))
     ),IF(D_I="SI",(Datos!L16-Datos!V16)/Datos!V16,(Datos!L16+Datos!AF16-(Datos!V16+Datos!AN16))/(Datos!V16+Datos!AN16))," - ")</f>
        <v>5.3667262969588549E-2</v>
      </c>
      <c r="H16" s="230">
        <f>IF(ISNUMBER((Datos!M16-Datos!W16)/Datos!W16),(Datos!M16-Datos!W16)/Datos!W16," - ")</f>
        <v>0.28125</v>
      </c>
      <c r="I16" s="350">
        <f>IF(ISNUMBER((Tasas!C16-Datos!BE16)/Datos!BE16),(Tasas!C16-Datos!BE16)/Datos!BE16," - ")</f>
        <v>0.38267798935139669</v>
      </c>
      <c r="J16" s="349">
        <f>IF(ISNUMBER((Tasas!D16-Datos!BF16)/Datos!BF16),(Tasas!D16-Datos!BF16)/Datos!BF16," - ")</f>
        <v>0.68132411067193677</v>
      </c>
      <c r="K16" s="351">
        <f>IF(ISNUMBER((Tasas!E16-Datos!BG16)/Datos!BG16),(Tasas!E16-Datos!BG16)/Datos!BG16," - ")</f>
        <v>0.24008641531698177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-0.34782608695652173</v>
      </c>
      <c r="E17" s="348">
        <f>IF(ISNUMBER(
   IF(D_I="SI",(Datos!J17-Datos!T17)/Datos!T17,(Datos!J17+Datos!AD17-(Datos!T17+Datos!AL17))/(Datos!T17+Datos!AL17))
     ),IF(D_I="SI",(Datos!J17-Datos!T17)/Datos!T17,(Datos!J17+Datos!AD17-(Datos!T17+Datos!AL17))/(Datos!T17+Datos!AL17))," - ")</f>
        <v>-0.36363636363636365</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-0.24</v>
      </c>
      <c r="H17" s="230">
        <f>IF(ISNUMBER((Datos!M17-Datos!W17)/Datos!W17),(Datos!M17-Datos!W17)/Datos!W17," - ")</f>
        <v>0.25</v>
      </c>
      <c r="I17" s="350">
        <f>IF(ISNUMBER((Tasas!C17-Datos!BE17)/Datos!BE17),(Tasas!C17-Datos!BE17)/Datos!BE17," - ")</f>
        <v>0.32999999999999996</v>
      </c>
      <c r="J17" s="349">
        <f>IF(ISNUMBER((Tasas!D17-Datos!BF17)/Datos!BF17),(Tasas!D17-Datos!BF17)/Datos!BF17," - ")</f>
        <v>1.1875000000000002</v>
      </c>
      <c r="K17" s="351">
        <f>IF(ISNUMBER((Tasas!E17-Datos!BG17)/Datos!BG17),(Tasas!E17-Datos!BG17)/Datos!BG17," - ")</f>
        <v>0.12313432835820892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-4.8859934853420191E-3</v>
      </c>
      <c r="E18" s="354">
        <f>IF(ISNUMBER(
   IF(D_I="SI",(Datos!J18-Datos!T18)/Datos!T18,(Datos!J18+Datos!AD18-(Datos!T18+Datos!AL18))/(Datos!T18+Datos!AL18))
     ),IF(D_I="SI",(Datos!J18-Datos!T18)/Datos!T18,(Datos!J18+Datos!AD18-(Datos!T18+Datos!AL18))/(Datos!T18+Datos!AL18))," - ")</f>
        <v>-0.20348837209302326</v>
      </c>
      <c r="F18" s="354">
        <f>IF(ISNUMBER(
   IF(D_I="SI",(Datos!K18-Datos!U18)/Datos!U18,(Datos!K18+Datos!AE18-(Datos!U18+Datos!AM18))/(Datos!U18+Datos!AM18))
     ),IF(D_I="SI",(Datos!K18-Datos!U18)/Datos!U18,(Datos!K18+Datos!AE18-(Datos!U18+Datos!AM18))/(Datos!U18+Datos!AM18))," - ")</f>
        <v>-0.25935828877005346</v>
      </c>
      <c r="G18" s="355">
        <f>IF(ISNUMBER(
   IF(D_I="SI",(Datos!L18-Datos!V18)/Datos!V18,(Datos!L18+Datos!AF18-(Datos!V18+Datos!AN18))/(Datos!V18+Datos!AN18))
     ),IF(D_I="SI",(Datos!L18-Datos!V18)/Datos!V18,(Datos!L18+Datos!AF18-(Datos!V18+Datos!AN18))/(Datos!V18+Datos!AN18))," - ")</f>
        <v>4.1095890410958902E-2</v>
      </c>
      <c r="H18" s="356">
        <f>IF(ISNUMBER((Datos!M18-Datos!W18)/Datos!W18),(Datos!M18-Datos!W18)/Datos!W18," - ")</f>
        <v>0.27777777777777779</v>
      </c>
      <c r="I18" s="357">
        <f>IF(ISNUMBER((Tasas!C18-Datos!BE18)/Datos!BE18),(Tasas!C18-Datos!BE18)/Datos!BE18," - ")</f>
        <v>0.40566737550071713</v>
      </c>
      <c r="J18" s="355">
        <f>IF(ISNUMBER((Tasas!D18-Datos!BF18)/Datos!BF18),(Tasas!D18-Datos!BF18)/Datos!BF18," - ")</f>
        <v>0.72523064580826324</v>
      </c>
      <c r="K18" s="358">
        <f>IF(ISNUMBER((Tasas!E18-Datos!BG18)/Datos!BG18),(Tasas!E18-Datos!BG18)/Datos!BG18," - ")</f>
        <v>0.24729618715283799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0.1455223880597015</v>
      </c>
      <c r="E19" s="363">
        <f>IF(ISNUMBER(
   IF(J_V="SI",(Datos!J19-Datos!T19)/Datos!T19,(Datos!J19+Datos!Z19-(Datos!T19+Datos!AH19))/(Datos!T19+Datos!AH19))
     ),IF(J_V="SI",(Datos!J19-Datos!T19)/Datos!T19,(Datos!J19+Datos!Z19-(Datos!T19+Datos!AH19))/(Datos!T19+Datos!AH19))," - ")</f>
        <v>-2.5899280575539568E-2</v>
      </c>
      <c r="F19" s="363">
        <f>IF(ISNUMBER(
   IF(J_V="SI",(Datos!K19-Datos!U19)/Datos!U19,(Datos!K19+Datos!AA19-(Datos!U19+Datos!AI19))/(Datos!U19+Datos!AI19))
     ),IF(J_V="SI",(Datos!K19-Datos!U19)/Datos!U19,(Datos!K19+Datos!AA19-(Datos!U19+Datos!AI19))/(Datos!U19+Datos!AI19))," - ")</f>
        <v>-0.18714285714285714</v>
      </c>
      <c r="G19" s="364">
        <f>IF(ISNUMBER(
   IF(J_V="SI",(Datos!L19-Datos!V19)/Datos!V19,(Datos!L19+Datos!AB19-(Datos!V19+Datos!AJ19))/(Datos!V19+Datos!AJ19))
     ),IF(J_V="SI",(Datos!L19-Datos!V19)/Datos!V19,(Datos!L19+Datos!AB19-(Datos!V19+Datos!AJ19))/(Datos!V19+Datos!AJ19))," - ")</f>
        <v>0.23071161048689137</v>
      </c>
      <c r="H19" s="365">
        <f>IF(ISNUMBER((Datos!M19-Datos!W19)/Datos!W19),(Datos!M19-Datos!W19)/Datos!W19," - ")</f>
        <v>1.6E-2</v>
      </c>
      <c r="I19" s="362">
        <f>IF(ISNUMBER((Tasas!C19-Datos!BE19)/Datos!BE19),(Tasas!C19-Datos!BE19)/Datos!BE19," - ")</f>
        <v>0.51405646281339878</v>
      </c>
      <c r="J19" s="363">
        <f>IF(ISNUMBER((Tasas!D19-Datos!BF19)/Datos!BF19),(Tasas!D19-Datos!BF19)/Datos!BF19," - ")</f>
        <v>-2.9571330327806265E-2</v>
      </c>
      <c r="K19" s="364">
        <f>IF(ISNUMBER((Tasas!E19-Datos!BG19)/Datos!BG19),(Tasas!E19-Datos!BG19)/Datos!BG19," - ")</f>
        <v>0.33723114390952708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0.25356665229705122</v>
      </c>
      <c r="E21" s="278">
        <f t="shared" si="1"/>
        <v>0.6298286665741627</v>
      </c>
      <c r="F21" s="278">
        <f t="shared" si="1"/>
        <v>0.35604603739525625</v>
      </c>
      <c r="G21" s="279">
        <f t="shared" si="1"/>
        <v>0.1377142112242184</v>
      </c>
      <c r="H21" s="285">
        <f t="shared" si="1"/>
        <v>0.49224397571228357</v>
      </c>
      <c r="I21" s="277">
        <f t="shared" si="1"/>
        <v>9.3185286311861626E-2</v>
      </c>
      <c r="J21" s="278">
        <f t="shared" si="1"/>
        <v>0.65542199976463134</v>
      </c>
      <c r="K21" s="279">
        <f t="shared" si="1"/>
        <v>0.10524166545872569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6XIMrLTNRpqBswgGpRwpCZGMKS1Tmwdoe9tehoLTqEHK3ieq5YuL1hQv0h8LfSKHzRUPGUHhSRNxl4yQhbjsQ==" saltValue="8nRDe15iIhKm7sk4uRky0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